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tuariesindia.sharepoint.com/sites/Exams/Shared Documents/Actuarial Examination/Year 2023_November Exam/Note/Solution/To be send to IT/Formatting in progress/"/>
    </mc:Choice>
  </mc:AlternateContent>
  <xr:revisionPtr revIDLastSave="64" documentId="11_1E6FCA1F0F9B25E6D21BD227356A149FCA953F2C" xr6:coauthVersionLast="47" xr6:coauthVersionMax="47" xr10:uidLastSave="{967916E3-32B7-4C8F-9D82-48BA50EE6590}"/>
  <bookViews>
    <workbookView xWindow="-110" yWindow="-110" windowWidth="19420" windowHeight="10300" tabRatio="769" xr2:uid="{00000000-000D-0000-FFFF-FFFF00000000}"/>
  </bookViews>
  <sheets>
    <sheet name="Q.1 Data" sheetId="1" r:id="rId1"/>
    <sheet name="Q.1 (i)" sheetId="2" r:id="rId2"/>
    <sheet name="Q.1 (ii)" sheetId="3" r:id="rId3"/>
    <sheet name="Q.1 (iii)" sheetId="4" r:id="rId4"/>
    <sheet name="Q.2 Data" sheetId="6" r:id="rId5"/>
    <sheet name="Q.2 (i)" sheetId="7" r:id="rId6"/>
    <sheet name="Q.2 (ii)" sheetId="8" r:id="rId7"/>
    <sheet name="Q.2 (iii)" sheetId="9" r:id="rId8"/>
    <sheet name="Q.3 Input" sheetId="10" r:id="rId9"/>
    <sheet name="Q.3(i)" sheetId="11" r:id="rId10"/>
    <sheet name="Q.3(ii)" sheetId="12" r:id="rId11"/>
    <sheet name="Q.3(iii)" sheetId="13" r:id="rId12"/>
    <sheet name="Q.3 (iv)" sheetId="17" r:id="rId13"/>
  </sheets>
  <externalReferences>
    <externalReference r:id="rId14"/>
  </externalReferences>
  <definedNames>
    <definedName name="v">[1]Sheet1!$F$16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7" l="1"/>
  <c r="D29" i="17" s="1"/>
  <c r="C28" i="17"/>
  <c r="C27" i="17"/>
  <c r="C26" i="17"/>
  <c r="C25" i="17"/>
  <c r="C24" i="17"/>
  <c r="D24" i="17" s="1"/>
  <c r="C23" i="17"/>
  <c r="D23" i="17" s="1"/>
  <c r="C22" i="17"/>
  <c r="D22" i="17" s="1"/>
  <c r="C21" i="17"/>
  <c r="D21" i="17" s="1"/>
  <c r="C20" i="17"/>
  <c r="D20" i="17" s="1"/>
  <c r="C19" i="17"/>
  <c r="D19" i="17" s="1"/>
  <c r="C18" i="17"/>
  <c r="D18" i="17" s="1"/>
  <c r="C17" i="17"/>
  <c r="D17" i="17" s="1"/>
  <c r="C16" i="17"/>
  <c r="C15" i="17"/>
  <c r="C14" i="17"/>
  <c r="C13" i="17"/>
  <c r="C12" i="17"/>
  <c r="D12" i="17" s="1"/>
  <c r="C11" i="17"/>
  <c r="D11" i="17" s="1"/>
  <c r="C10" i="17"/>
  <c r="D10" i="17" s="1"/>
  <c r="C9" i="17"/>
  <c r="D9" i="17" s="1"/>
  <c r="C8" i="17"/>
  <c r="D8" i="17" s="1"/>
  <c r="C7" i="17"/>
  <c r="D7" i="17" s="1"/>
  <c r="C6" i="17"/>
  <c r="D6" i="17" s="1"/>
  <c r="C5" i="17"/>
  <c r="G3" i="17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E11" i="12"/>
  <c r="G5" i="12"/>
  <c r="G6" i="12" s="1"/>
  <c r="J16" i="11"/>
  <c r="E16" i="11"/>
  <c r="J15" i="11"/>
  <c r="E15" i="11"/>
  <c r="J14" i="11"/>
  <c r="E14" i="11"/>
  <c r="J13" i="11"/>
  <c r="E13" i="11"/>
  <c r="J12" i="11"/>
  <c r="E12" i="11"/>
  <c r="J11" i="11"/>
  <c r="E11" i="11"/>
  <c r="J10" i="11"/>
  <c r="E10" i="11"/>
  <c r="J9" i="11"/>
  <c r="E9" i="11"/>
  <c r="J8" i="11"/>
  <c r="E8" i="11"/>
  <c r="J7" i="11"/>
  <c r="E7" i="11"/>
  <c r="D7" i="11"/>
  <c r="D8" i="11" s="1"/>
  <c r="D9" i="11" s="1"/>
  <c r="B7" i="11"/>
  <c r="K7" i="11" s="1"/>
  <c r="L6" i="11"/>
  <c r="K6" i="11"/>
  <c r="J6" i="11"/>
  <c r="M6" i="11" s="1"/>
  <c r="H6" i="11"/>
  <c r="E6" i="11"/>
  <c r="C6" i="11"/>
  <c r="N6" i="11" s="1"/>
  <c r="F12" i="10"/>
  <c r="P7" i="10"/>
  <c r="P8" i="10" s="1"/>
  <c r="P9" i="10" s="1"/>
  <c r="P10" i="10" s="1"/>
  <c r="P11" i="10" s="1"/>
  <c r="P12" i="10" s="1"/>
  <c r="P13" i="10" s="1"/>
  <c r="P14" i="10" s="1"/>
  <c r="P15" i="10" s="1"/>
  <c r="P16" i="10" s="1"/>
  <c r="J7" i="10"/>
  <c r="J8" i="10" s="1"/>
  <c r="J9" i="10" s="1"/>
  <c r="U6" i="10"/>
  <c r="U7" i="10" l="1"/>
  <c r="D13" i="17"/>
  <c r="D25" i="17"/>
  <c r="D14" i="17"/>
  <c r="D26" i="17"/>
  <c r="D15" i="17"/>
  <c r="D27" i="17"/>
  <c r="D5" i="17"/>
  <c r="D16" i="17"/>
  <c r="D28" i="17"/>
  <c r="H8" i="11"/>
  <c r="C7" i="11"/>
  <c r="C8" i="11" s="1"/>
  <c r="F6" i="11"/>
  <c r="G6" i="11" s="1"/>
  <c r="P6" i="11" s="1"/>
  <c r="H7" i="11"/>
  <c r="D10" i="11"/>
  <c r="H9" i="11"/>
  <c r="U9" i="10"/>
  <c r="J10" i="10"/>
  <c r="N7" i="11"/>
  <c r="M7" i="11"/>
  <c r="L7" i="11"/>
  <c r="B8" i="11"/>
  <c r="U8" i="10"/>
  <c r="O6" i="11"/>
  <c r="L34" i="9"/>
  <c r="L33" i="9"/>
  <c r="N33" i="9" s="1"/>
  <c r="L32" i="9"/>
  <c r="L31" i="9"/>
  <c r="N31" i="9" s="1"/>
  <c r="L30" i="9"/>
  <c r="L29" i="9"/>
  <c r="N29" i="9" s="1"/>
  <c r="L28" i="9"/>
  <c r="N27" i="9"/>
  <c r="L27" i="9"/>
  <c r="L26" i="9"/>
  <c r="N25" i="9"/>
  <c r="L25" i="9"/>
  <c r="L24" i="9"/>
  <c r="L23" i="9"/>
  <c r="N23" i="9" s="1"/>
  <c r="L22" i="9"/>
  <c r="L21" i="9"/>
  <c r="N21" i="9" s="1"/>
  <c r="L20" i="9"/>
  <c r="N19" i="9"/>
  <c r="L19" i="9"/>
  <c r="L18" i="9"/>
  <c r="N17" i="9"/>
  <c r="L17" i="9"/>
  <c r="L16" i="9"/>
  <c r="N15" i="9"/>
  <c r="L15" i="9"/>
  <c r="L14" i="9"/>
  <c r="L13" i="9"/>
  <c r="N13" i="9" s="1"/>
  <c r="L12" i="9"/>
  <c r="B12" i="9"/>
  <c r="L11" i="9"/>
  <c r="N11" i="9" s="1"/>
  <c r="N10" i="9"/>
  <c r="L10" i="9"/>
  <c r="N9" i="9"/>
  <c r="L9" i="9"/>
  <c r="L8" i="9"/>
  <c r="N8" i="9" s="1"/>
  <c r="L7" i="9"/>
  <c r="N7" i="9" s="1"/>
  <c r="L6" i="9"/>
  <c r="N6" i="9" s="1"/>
  <c r="D6" i="9"/>
  <c r="AC5" i="9"/>
  <c r="Z5" i="9"/>
  <c r="O5" i="9"/>
  <c r="M5" i="9"/>
  <c r="R5" i="9" s="1"/>
  <c r="L5" i="9"/>
  <c r="Q5" i="9" s="1"/>
  <c r="E5" i="9"/>
  <c r="G5" i="9" s="1"/>
  <c r="I5" i="9" s="1"/>
  <c r="L34" i="8"/>
  <c r="N33" i="8"/>
  <c r="L33" i="8"/>
  <c r="N32" i="8"/>
  <c r="L32" i="8"/>
  <c r="L31" i="8"/>
  <c r="N31" i="8" s="1"/>
  <c r="L30" i="8"/>
  <c r="L29" i="8"/>
  <c r="L28" i="8"/>
  <c r="N28" i="8" s="1"/>
  <c r="L27" i="8"/>
  <c r="N26" i="8"/>
  <c r="L26" i="8"/>
  <c r="L25" i="8"/>
  <c r="N24" i="8"/>
  <c r="L24" i="8"/>
  <c r="L23" i="8"/>
  <c r="N22" i="8"/>
  <c r="L22" i="8"/>
  <c r="L21" i="8"/>
  <c r="L20" i="8"/>
  <c r="N20" i="8" s="1"/>
  <c r="L19" i="8"/>
  <c r="N18" i="8"/>
  <c r="L18" i="8"/>
  <c r="L17" i="8"/>
  <c r="N17" i="8" s="1"/>
  <c r="L16" i="8"/>
  <c r="N16" i="8" s="1"/>
  <c r="N15" i="8"/>
  <c r="L15" i="8"/>
  <c r="L14" i="8"/>
  <c r="N14" i="8" s="1"/>
  <c r="L13" i="8"/>
  <c r="N13" i="8" s="1"/>
  <c r="L12" i="8"/>
  <c r="N12" i="8" s="1"/>
  <c r="B12" i="8"/>
  <c r="AF11" i="8"/>
  <c r="N11" i="8"/>
  <c r="L11" i="8"/>
  <c r="L10" i="8"/>
  <c r="L9" i="8"/>
  <c r="N9" i="8" s="1"/>
  <c r="N8" i="8"/>
  <c r="L8" i="8"/>
  <c r="L7" i="8"/>
  <c r="L6" i="8"/>
  <c r="N6" i="8" s="1"/>
  <c r="E6" i="8"/>
  <c r="D6" i="8"/>
  <c r="Y6" i="8" s="1"/>
  <c r="AC5" i="8"/>
  <c r="Z5" i="8"/>
  <c r="R5" i="8"/>
  <c r="O5" i="8"/>
  <c r="M5" i="8"/>
  <c r="L5" i="8"/>
  <c r="Q5" i="8" s="1"/>
  <c r="G5" i="8"/>
  <c r="I5" i="8" s="1"/>
  <c r="T5" i="8" s="1"/>
  <c r="E5" i="8"/>
  <c r="L34" i="7"/>
  <c r="N34" i="7" s="1"/>
  <c r="L33" i="7"/>
  <c r="N33" i="7" s="1"/>
  <c r="L32" i="7"/>
  <c r="L31" i="7"/>
  <c r="N31" i="7" s="1"/>
  <c r="L30" i="7"/>
  <c r="N30" i="7" s="1"/>
  <c r="L29" i="7"/>
  <c r="N29" i="7" s="1"/>
  <c r="L28" i="7"/>
  <c r="N28" i="7" s="1"/>
  <c r="L27" i="7"/>
  <c r="N27" i="7" s="1"/>
  <c r="L26" i="7"/>
  <c r="L25" i="7"/>
  <c r="N25" i="7" s="1"/>
  <c r="L24" i="7"/>
  <c r="L23" i="7"/>
  <c r="N23" i="7" s="1"/>
  <c r="L22" i="7"/>
  <c r="L21" i="7"/>
  <c r="N21" i="7" s="1"/>
  <c r="L20" i="7"/>
  <c r="L19" i="7"/>
  <c r="N19" i="7" s="1"/>
  <c r="L18" i="7"/>
  <c r="N18" i="7" s="1"/>
  <c r="L17" i="7"/>
  <c r="N17" i="7" s="1"/>
  <c r="L16" i="7"/>
  <c r="N16" i="7" s="1"/>
  <c r="L15" i="7"/>
  <c r="N15" i="7" s="1"/>
  <c r="L14" i="7"/>
  <c r="N14" i="7" s="1"/>
  <c r="L13" i="7"/>
  <c r="N13" i="7" s="1"/>
  <c r="L12" i="7"/>
  <c r="B12" i="7"/>
  <c r="N11" i="7"/>
  <c r="L11" i="7"/>
  <c r="L10" i="7"/>
  <c r="L9" i="7"/>
  <c r="N9" i="7" s="1"/>
  <c r="L8" i="7"/>
  <c r="N8" i="7" s="1"/>
  <c r="L7" i="7"/>
  <c r="D7" i="7"/>
  <c r="O7" i="7" s="1"/>
  <c r="AC6" i="7"/>
  <c r="L6" i="7"/>
  <c r="D6" i="7"/>
  <c r="AC5" i="7"/>
  <c r="Z5" i="7"/>
  <c r="O5" i="7"/>
  <c r="M5" i="7"/>
  <c r="R5" i="7" s="1"/>
  <c r="L5" i="7"/>
  <c r="Q5" i="7" s="1"/>
  <c r="E5" i="7"/>
  <c r="G5" i="7" s="1"/>
  <c r="I5" i="7" s="1"/>
  <c r="J5" i="7" s="1"/>
  <c r="H6" i="7" s="1"/>
  <c r="Y6" i="7" l="1"/>
  <c r="O6" i="7"/>
  <c r="E6" i="9"/>
  <c r="N5" i="7"/>
  <c r="S5" i="7" s="1"/>
  <c r="V5" i="7" s="1"/>
  <c r="AB5" i="7" s="1"/>
  <c r="N5" i="8"/>
  <c r="S5" i="8" s="1"/>
  <c r="V5" i="8" s="1"/>
  <c r="AB5" i="8" s="1"/>
  <c r="N5" i="9"/>
  <c r="S5" i="9" s="1"/>
  <c r="F7" i="11"/>
  <c r="G7" i="11" s="1"/>
  <c r="P7" i="11" s="1"/>
  <c r="Q6" i="11"/>
  <c r="R6" i="11" s="1"/>
  <c r="I7" i="11" s="1"/>
  <c r="O7" i="11" s="1"/>
  <c r="Q7" i="11" s="1"/>
  <c r="R7" i="11" s="1"/>
  <c r="I8" i="11" s="1"/>
  <c r="N8" i="11"/>
  <c r="F8" i="11"/>
  <c r="C9" i="11"/>
  <c r="U10" i="10"/>
  <c r="J11" i="10"/>
  <c r="L8" i="11"/>
  <c r="B9" i="11"/>
  <c r="K8" i="11"/>
  <c r="M8" i="11"/>
  <c r="D11" i="11"/>
  <c r="H10" i="11"/>
  <c r="N12" i="7"/>
  <c r="Z6" i="7"/>
  <c r="T5" i="7"/>
  <c r="N7" i="7"/>
  <c r="N32" i="7"/>
  <c r="E6" i="7"/>
  <c r="N20" i="7"/>
  <c r="N24" i="7"/>
  <c r="N26" i="7"/>
  <c r="Q6" i="7"/>
  <c r="N6" i="7"/>
  <c r="S6" i="7" s="1"/>
  <c r="M7" i="7"/>
  <c r="AC7" i="7"/>
  <c r="Y7" i="7"/>
  <c r="Z6" i="8"/>
  <c r="N27" i="8"/>
  <c r="E7" i="9"/>
  <c r="G6" i="9"/>
  <c r="N22" i="7"/>
  <c r="D8" i="7"/>
  <c r="M6" i="7"/>
  <c r="R6" i="7" s="1"/>
  <c r="D7" i="8"/>
  <c r="AC6" i="8"/>
  <c r="T5" i="9"/>
  <c r="J5" i="9"/>
  <c r="H6" i="9" s="1"/>
  <c r="E7" i="8"/>
  <c r="G6" i="8"/>
  <c r="N10" i="7"/>
  <c r="N19" i="8"/>
  <c r="J5" i="8"/>
  <c r="H6" i="8" s="1"/>
  <c r="Q6" i="8" s="1"/>
  <c r="O6" i="8"/>
  <c r="N10" i="8"/>
  <c r="M6" i="8"/>
  <c r="N23" i="8"/>
  <c r="N21" i="8"/>
  <c r="N29" i="8"/>
  <c r="V5" i="9"/>
  <c r="N22" i="9"/>
  <c r="N7" i="8"/>
  <c r="N30" i="9"/>
  <c r="N25" i="8"/>
  <c r="D7" i="9"/>
  <c r="AC6" i="9"/>
  <c r="O6" i="9"/>
  <c r="Y6" i="9"/>
  <c r="N14" i="9"/>
  <c r="M7" i="9"/>
  <c r="N16" i="9"/>
  <c r="N24" i="9"/>
  <c r="N32" i="9"/>
  <c r="N34" i="9"/>
  <c r="N18" i="9"/>
  <c r="N26" i="9"/>
  <c r="N30" i="8"/>
  <c r="N34" i="8"/>
  <c r="M6" i="9"/>
  <c r="N12" i="9"/>
  <c r="N20" i="9"/>
  <c r="N28" i="9"/>
  <c r="W5" i="9" l="1"/>
  <c r="W5" i="7"/>
  <c r="I6" i="9"/>
  <c r="W5" i="8"/>
  <c r="T6" i="9"/>
  <c r="G8" i="11"/>
  <c r="P8" i="11" s="1"/>
  <c r="O8" i="11"/>
  <c r="Q8" i="11" s="1"/>
  <c r="R8" i="11" s="1"/>
  <c r="I9" i="11" s="1"/>
  <c r="M9" i="11"/>
  <c r="B10" i="11"/>
  <c r="K9" i="11"/>
  <c r="L9" i="11"/>
  <c r="J12" i="10"/>
  <c r="U11" i="10"/>
  <c r="H11" i="11"/>
  <c r="D12" i="11"/>
  <c r="F9" i="11"/>
  <c r="G9" i="11" s="1"/>
  <c r="P9" i="11" s="1"/>
  <c r="C10" i="11"/>
  <c r="N9" i="11"/>
  <c r="AB5" i="9"/>
  <c r="Z6" i="9"/>
  <c r="J6" i="9"/>
  <c r="H7" i="9" s="1"/>
  <c r="S6" i="9"/>
  <c r="Q6" i="9"/>
  <c r="AC8" i="7"/>
  <c r="O8" i="7"/>
  <c r="M8" i="7"/>
  <c r="D9" i="7"/>
  <c r="Y8" i="7"/>
  <c r="V6" i="7"/>
  <c r="R6" i="9"/>
  <c r="Y7" i="9"/>
  <c r="D8" i="9"/>
  <c r="O7" i="9"/>
  <c r="AC7" i="9"/>
  <c r="R6" i="8"/>
  <c r="S6" i="8"/>
  <c r="E8" i="9"/>
  <c r="G7" i="9"/>
  <c r="Z7" i="7"/>
  <c r="G6" i="7"/>
  <c r="I6" i="7" s="1"/>
  <c r="E7" i="7"/>
  <c r="I6" i="8"/>
  <c r="J6" i="8" s="1"/>
  <c r="H7" i="8" s="1"/>
  <c r="O7" i="8"/>
  <c r="Y7" i="8"/>
  <c r="M7" i="8"/>
  <c r="AC7" i="8"/>
  <c r="D8" i="8"/>
  <c r="G7" i="8"/>
  <c r="E8" i="8"/>
  <c r="H12" i="11" l="1"/>
  <c r="D13" i="11"/>
  <c r="U12" i="10"/>
  <c r="J13" i="10"/>
  <c r="O9" i="11"/>
  <c r="Q9" i="11" s="1"/>
  <c r="R9" i="11" s="1"/>
  <c r="I10" i="11" s="1"/>
  <c r="C11" i="11"/>
  <c r="F10" i="11"/>
  <c r="G10" i="11" s="1"/>
  <c r="P10" i="11" s="1"/>
  <c r="N10" i="11"/>
  <c r="L10" i="11"/>
  <c r="B11" i="11"/>
  <c r="M10" i="11"/>
  <c r="K10" i="11"/>
  <c r="Q7" i="8"/>
  <c r="S7" i="8"/>
  <c r="E8" i="7"/>
  <c r="G7" i="7"/>
  <c r="T6" i="7"/>
  <c r="J6" i="7"/>
  <c r="H7" i="7" s="1"/>
  <c r="Z8" i="7"/>
  <c r="D9" i="8"/>
  <c r="O8" i="8"/>
  <c r="M8" i="8"/>
  <c r="Y8" i="8"/>
  <c r="AC8" i="8"/>
  <c r="Q7" i="9"/>
  <c r="S7" i="9"/>
  <c r="R7" i="8"/>
  <c r="T6" i="8"/>
  <c r="D10" i="7"/>
  <c r="O9" i="7"/>
  <c r="M9" i="7"/>
  <c r="AC9" i="7"/>
  <c r="Y9" i="7"/>
  <c r="E9" i="8"/>
  <c r="G8" i="8"/>
  <c r="AC8" i="9"/>
  <c r="Y8" i="9"/>
  <c r="O8" i="9"/>
  <c r="M8" i="9"/>
  <c r="D9" i="9"/>
  <c r="I7" i="8"/>
  <c r="J7" i="8" s="1"/>
  <c r="H8" i="8" s="1"/>
  <c r="T7" i="8"/>
  <c r="I7" i="9"/>
  <c r="T7" i="9" s="1"/>
  <c r="Z7" i="9"/>
  <c r="R7" i="9"/>
  <c r="G8" i="9"/>
  <c r="E9" i="9"/>
  <c r="Z7" i="8"/>
  <c r="V6" i="9"/>
  <c r="AB6" i="9" s="1"/>
  <c r="V6" i="8"/>
  <c r="AB6" i="8" s="1"/>
  <c r="J7" i="9" l="1"/>
  <c r="H8" i="9" s="1"/>
  <c r="O10" i="11"/>
  <c r="Q10" i="11" s="1"/>
  <c r="R10" i="11" s="1"/>
  <c r="I11" i="11" s="1"/>
  <c r="B12" i="11"/>
  <c r="K11" i="11"/>
  <c r="M11" i="11"/>
  <c r="L11" i="11"/>
  <c r="N11" i="11"/>
  <c r="C12" i="11"/>
  <c r="F11" i="11"/>
  <c r="G11" i="11" s="1"/>
  <c r="P11" i="11" s="1"/>
  <c r="U13" i="10"/>
  <c r="J14" i="10"/>
  <c r="D14" i="11"/>
  <c r="H13" i="11"/>
  <c r="S8" i="8"/>
  <c r="Q8" i="8"/>
  <c r="W6" i="8"/>
  <c r="AB6" i="7"/>
  <c r="W6" i="7"/>
  <c r="S8" i="9"/>
  <c r="Q8" i="9"/>
  <c r="R8" i="9"/>
  <c r="I7" i="7"/>
  <c r="T7" i="7" s="1"/>
  <c r="J7" i="7"/>
  <c r="H8" i="7" s="1"/>
  <c r="Q7" i="7"/>
  <c r="S7" i="7"/>
  <c r="R7" i="7"/>
  <c r="W6" i="9"/>
  <c r="Y10" i="7"/>
  <c r="M10" i="7"/>
  <c r="D11" i="7"/>
  <c r="O10" i="7"/>
  <c r="AC10" i="7"/>
  <c r="R8" i="8"/>
  <c r="E9" i="7"/>
  <c r="G8" i="7"/>
  <c r="I8" i="8"/>
  <c r="J8" i="8" s="1"/>
  <c r="H9" i="8" s="1"/>
  <c r="AC9" i="9"/>
  <c r="Y9" i="9"/>
  <c r="O9" i="9"/>
  <c r="D10" i="9"/>
  <c r="M9" i="9"/>
  <c r="V7" i="9"/>
  <c r="W7" i="9" s="1"/>
  <c r="AB7" i="9"/>
  <c r="Z8" i="9"/>
  <c r="Z8" i="8"/>
  <c r="E10" i="9"/>
  <c r="G9" i="9"/>
  <c r="E10" i="8"/>
  <c r="G9" i="8"/>
  <c r="O9" i="8"/>
  <c r="Y9" i="8"/>
  <c r="D10" i="8"/>
  <c r="AC9" i="8"/>
  <c r="M9" i="8"/>
  <c r="V7" i="8"/>
  <c r="AB7" i="8" s="1"/>
  <c r="W7" i="8"/>
  <c r="I8" i="9"/>
  <c r="J8" i="9" s="1"/>
  <c r="H9" i="9" s="1"/>
  <c r="Z9" i="7"/>
  <c r="T8" i="8" l="1"/>
  <c r="C13" i="11"/>
  <c r="F12" i="11"/>
  <c r="G12" i="11" s="1"/>
  <c r="P12" i="11" s="1"/>
  <c r="N12" i="11"/>
  <c r="H14" i="11"/>
  <c r="D15" i="11"/>
  <c r="U14" i="10"/>
  <c r="J15" i="10"/>
  <c r="O11" i="11"/>
  <c r="Q11" i="11" s="1"/>
  <c r="R11" i="11" s="1"/>
  <c r="I12" i="11" s="1"/>
  <c r="B13" i="11"/>
  <c r="M12" i="11"/>
  <c r="L12" i="11"/>
  <c r="K12" i="11"/>
  <c r="Q9" i="8"/>
  <c r="S9" i="8"/>
  <c r="Q9" i="9"/>
  <c r="S9" i="9"/>
  <c r="T8" i="9"/>
  <c r="I9" i="9"/>
  <c r="J9" i="9" s="1"/>
  <c r="H10" i="9" s="1"/>
  <c r="R9" i="8"/>
  <c r="I8" i="7"/>
  <c r="T8" i="7" s="1"/>
  <c r="V8" i="8"/>
  <c r="AB8" i="8" s="1"/>
  <c r="W8" i="8"/>
  <c r="Z9" i="8"/>
  <c r="V7" i="7"/>
  <c r="W7" i="7" s="1"/>
  <c r="AB7" i="7"/>
  <c r="Z9" i="9"/>
  <c r="S8" i="7"/>
  <c r="Q8" i="7"/>
  <c r="R8" i="7"/>
  <c r="O11" i="7"/>
  <c r="AC11" i="7"/>
  <c r="Y11" i="7"/>
  <c r="D12" i="7"/>
  <c r="M11" i="7"/>
  <c r="G10" i="8"/>
  <c r="E11" i="8"/>
  <c r="Z10" i="7"/>
  <c r="V8" i="9"/>
  <c r="AB8" i="9" s="1"/>
  <c r="G10" i="9"/>
  <c r="E11" i="9"/>
  <c r="R9" i="9"/>
  <c r="G9" i="7"/>
  <c r="E10" i="7"/>
  <c r="I9" i="8"/>
  <c r="J9" i="8" s="1"/>
  <c r="H10" i="8" s="1"/>
  <c r="D11" i="8"/>
  <c r="AC10" i="8"/>
  <c r="Y10" i="8"/>
  <c r="O10" i="8"/>
  <c r="M10" i="8"/>
  <c r="AC10" i="9"/>
  <c r="O10" i="9"/>
  <c r="D11" i="9"/>
  <c r="Y10" i="9"/>
  <c r="M10" i="9"/>
  <c r="I10" i="9" l="1"/>
  <c r="W8" i="9"/>
  <c r="J8" i="7"/>
  <c r="H9" i="7" s="1"/>
  <c r="I9" i="7" s="1"/>
  <c r="T9" i="9"/>
  <c r="U15" i="10"/>
  <c r="J16" i="10"/>
  <c r="U16" i="10" s="1"/>
  <c r="D16" i="11"/>
  <c r="H15" i="11"/>
  <c r="O12" i="11"/>
  <c r="Q12" i="11" s="1"/>
  <c r="R12" i="11" s="1"/>
  <c r="I13" i="11" s="1"/>
  <c r="M13" i="11"/>
  <c r="L13" i="11"/>
  <c r="K13" i="11"/>
  <c r="B14" i="11"/>
  <c r="N13" i="11"/>
  <c r="F13" i="11"/>
  <c r="G13" i="11" s="1"/>
  <c r="P13" i="11" s="1"/>
  <c r="C14" i="11"/>
  <c r="J10" i="8"/>
  <c r="H11" i="8" s="1"/>
  <c r="Q10" i="8"/>
  <c r="S10" i="8"/>
  <c r="T10" i="9"/>
  <c r="O12" i="7"/>
  <c r="D13" i="7"/>
  <c r="AC12" i="7"/>
  <c r="Y12" i="7"/>
  <c r="M12" i="7"/>
  <c r="I10" i="8"/>
  <c r="Z11" i="7"/>
  <c r="J10" i="9"/>
  <c r="H11" i="9" s="1"/>
  <c r="Q10" i="9"/>
  <c r="S10" i="9"/>
  <c r="E12" i="9"/>
  <c r="G11" i="9"/>
  <c r="Z10" i="8"/>
  <c r="T9" i="8"/>
  <c r="W9" i="8" s="1"/>
  <c r="T10" i="8"/>
  <c r="G10" i="7"/>
  <c r="E11" i="7"/>
  <c r="V9" i="8"/>
  <c r="D12" i="9"/>
  <c r="Y11" i="9"/>
  <c r="AC11" i="9"/>
  <c r="O11" i="9"/>
  <c r="M11" i="9"/>
  <c r="R11" i="9" s="1"/>
  <c r="V8" i="7"/>
  <c r="W8" i="7" s="1"/>
  <c r="AB8" i="7"/>
  <c r="R10" i="8"/>
  <c r="V9" i="9"/>
  <c r="R10" i="9"/>
  <c r="Z10" i="9"/>
  <c r="Y11" i="8"/>
  <c r="D12" i="8"/>
  <c r="AC11" i="8"/>
  <c r="O11" i="8"/>
  <c r="M11" i="8"/>
  <c r="R11" i="8" s="1"/>
  <c r="E12" i="8"/>
  <c r="G11" i="8"/>
  <c r="I11" i="8" s="1"/>
  <c r="Q9" i="7"/>
  <c r="T9" i="7" l="1"/>
  <c r="J9" i="7"/>
  <c r="H10" i="7" s="1"/>
  <c r="T11" i="8"/>
  <c r="R9" i="7"/>
  <c r="V9" i="7" s="1"/>
  <c r="AB9" i="7" s="1"/>
  <c r="S9" i="7"/>
  <c r="AB9" i="9"/>
  <c r="N14" i="11"/>
  <c r="F14" i="11"/>
  <c r="G14" i="11" s="1"/>
  <c r="P14" i="11" s="1"/>
  <c r="C15" i="11"/>
  <c r="D11" i="12"/>
  <c r="H16" i="11"/>
  <c r="M14" i="11"/>
  <c r="K14" i="11"/>
  <c r="B15" i="11"/>
  <c r="L14" i="11"/>
  <c r="O13" i="11"/>
  <c r="Q13" i="11" s="1"/>
  <c r="R13" i="11" s="1"/>
  <c r="I14" i="11" s="1"/>
  <c r="Q11" i="9"/>
  <c r="S11" i="9"/>
  <c r="AC13" i="7"/>
  <c r="O13" i="7"/>
  <c r="Y13" i="7"/>
  <c r="D14" i="7"/>
  <c r="M13" i="7"/>
  <c r="W9" i="9"/>
  <c r="Z11" i="9"/>
  <c r="O12" i="8"/>
  <c r="Y12" i="8"/>
  <c r="D13" i="8"/>
  <c r="AC12" i="8"/>
  <c r="M12" i="8"/>
  <c r="O12" i="9"/>
  <c r="Y12" i="9"/>
  <c r="D13" i="9"/>
  <c r="AC12" i="9"/>
  <c r="M12" i="9"/>
  <c r="AB9" i="8"/>
  <c r="I11" i="9"/>
  <c r="J11" i="9" s="1"/>
  <c r="H12" i="9" s="1"/>
  <c r="V10" i="8"/>
  <c r="W10" i="8" s="1"/>
  <c r="AB10" i="8"/>
  <c r="Z11" i="8"/>
  <c r="G12" i="9"/>
  <c r="E13" i="9"/>
  <c r="J11" i="8"/>
  <c r="H12" i="8" s="1"/>
  <c r="Q11" i="8"/>
  <c r="S11" i="8"/>
  <c r="Q10" i="7"/>
  <c r="S10" i="7"/>
  <c r="R10" i="7"/>
  <c r="G12" i="8"/>
  <c r="E13" i="8"/>
  <c r="E12" i="7"/>
  <c r="G11" i="7"/>
  <c r="Z12" i="7"/>
  <c r="I10" i="7"/>
  <c r="T10" i="7" s="1"/>
  <c r="V10" i="9"/>
  <c r="AB10" i="9" s="1"/>
  <c r="W9" i="7" l="1"/>
  <c r="I12" i="8"/>
  <c r="T12" i="8"/>
  <c r="J10" i="7"/>
  <c r="H11" i="7" s="1"/>
  <c r="C16" i="11"/>
  <c r="F15" i="11"/>
  <c r="G15" i="11" s="1"/>
  <c r="P15" i="11" s="1"/>
  <c r="N15" i="11"/>
  <c r="M15" i="11"/>
  <c r="L15" i="11"/>
  <c r="K15" i="11"/>
  <c r="B16" i="11"/>
  <c r="D12" i="12"/>
  <c r="O14" i="11"/>
  <c r="Q14" i="11" s="1"/>
  <c r="R14" i="11" s="1"/>
  <c r="I15" i="11" s="1"/>
  <c r="Q12" i="9"/>
  <c r="S12" i="9"/>
  <c r="O14" i="7"/>
  <c r="D15" i="7"/>
  <c r="AC14" i="7"/>
  <c r="Y14" i="7"/>
  <c r="M14" i="7"/>
  <c r="I11" i="7"/>
  <c r="T11" i="7" s="1"/>
  <c r="R12" i="9"/>
  <c r="Z12" i="8"/>
  <c r="Z13" i="7"/>
  <c r="D14" i="8"/>
  <c r="O13" i="8"/>
  <c r="AC13" i="8"/>
  <c r="Y13" i="8"/>
  <c r="M13" i="8"/>
  <c r="W10" i="9"/>
  <c r="E14" i="8"/>
  <c r="G13" i="8"/>
  <c r="Q12" i="8"/>
  <c r="J12" i="8"/>
  <c r="H13" i="8" s="1"/>
  <c r="S12" i="8"/>
  <c r="D14" i="9"/>
  <c r="O13" i="9"/>
  <c r="AC13" i="9"/>
  <c r="Y13" i="9"/>
  <c r="M13" i="9"/>
  <c r="E13" i="7"/>
  <c r="G12" i="7"/>
  <c r="Z12" i="9"/>
  <c r="Q11" i="7"/>
  <c r="S11" i="7"/>
  <c r="R11" i="7"/>
  <c r="V11" i="8"/>
  <c r="W11" i="8" s="1"/>
  <c r="T11" i="9"/>
  <c r="E14" i="9"/>
  <c r="G13" i="9"/>
  <c r="V11" i="9"/>
  <c r="V10" i="7"/>
  <c r="W10" i="7" s="1"/>
  <c r="I12" i="9"/>
  <c r="J12" i="9" s="1"/>
  <c r="H13" i="9" s="1"/>
  <c r="R12" i="8"/>
  <c r="AB11" i="9" l="1"/>
  <c r="T12" i="9"/>
  <c r="O15" i="11"/>
  <c r="Q15" i="11" s="1"/>
  <c r="R15" i="11" s="1"/>
  <c r="I16" i="11" s="1"/>
  <c r="B11" i="12"/>
  <c r="L16" i="11"/>
  <c r="K16" i="11"/>
  <c r="M16" i="11"/>
  <c r="C11" i="12"/>
  <c r="N16" i="11"/>
  <c r="F16" i="11"/>
  <c r="G16" i="11" s="1"/>
  <c r="D13" i="12"/>
  <c r="H12" i="12"/>
  <c r="V12" i="8"/>
  <c r="W12" i="8" s="1"/>
  <c r="I13" i="8"/>
  <c r="T13" i="8" s="1"/>
  <c r="Z13" i="9"/>
  <c r="G14" i="8"/>
  <c r="E15" i="8"/>
  <c r="Z14" i="7"/>
  <c r="I13" i="9"/>
  <c r="T13" i="9" s="1"/>
  <c r="J11" i="7"/>
  <c r="H12" i="7" s="1"/>
  <c r="I12" i="7" s="1"/>
  <c r="T12" i="7" s="1"/>
  <c r="V12" i="9"/>
  <c r="AB12" i="9" s="1"/>
  <c r="W11" i="9"/>
  <c r="AB10" i="7"/>
  <c r="O14" i="9"/>
  <c r="Y14" i="9"/>
  <c r="AC14" i="9"/>
  <c r="D15" i="9"/>
  <c r="M14" i="9"/>
  <c r="R13" i="8"/>
  <c r="AB11" i="8"/>
  <c r="J13" i="8"/>
  <c r="H14" i="8" s="1"/>
  <c r="Q13" i="8"/>
  <c r="S13" i="8"/>
  <c r="E14" i="7"/>
  <c r="G13" i="7"/>
  <c r="Q13" i="9"/>
  <c r="S13" i="9"/>
  <c r="R13" i="9"/>
  <c r="O14" i="8"/>
  <c r="Y14" i="8"/>
  <c r="AC14" i="8"/>
  <c r="M14" i="8"/>
  <c r="R14" i="8" s="1"/>
  <c r="D15" i="8"/>
  <c r="G14" i="9"/>
  <c r="E15" i="9"/>
  <c r="V11" i="7"/>
  <c r="AB11" i="7" s="1"/>
  <c r="W11" i="7"/>
  <c r="AC15" i="7"/>
  <c r="O15" i="7"/>
  <c r="Y15" i="7"/>
  <c r="M15" i="7"/>
  <c r="D16" i="7"/>
  <c r="AB12" i="8"/>
  <c r="Z13" i="8"/>
  <c r="W12" i="9" l="1"/>
  <c r="I14" i="8"/>
  <c r="T14" i="8" s="1"/>
  <c r="J13" i="9"/>
  <c r="H14" i="9" s="1"/>
  <c r="R14" i="9" s="1"/>
  <c r="D14" i="12"/>
  <c r="H13" i="12"/>
  <c r="C12" i="12"/>
  <c r="O16" i="11"/>
  <c r="I12" i="12"/>
  <c r="J12" i="12" s="1"/>
  <c r="G11" i="12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C30" i="17" s="1"/>
  <c r="D30" i="17" s="1"/>
  <c r="G5" i="17" s="1"/>
  <c r="P16" i="11"/>
  <c r="B12" i="12"/>
  <c r="V13" i="9"/>
  <c r="W13" i="9" s="1"/>
  <c r="Z15" i="7"/>
  <c r="D16" i="8"/>
  <c r="O15" i="8"/>
  <c r="Y15" i="8"/>
  <c r="M15" i="8"/>
  <c r="R15" i="8" s="1"/>
  <c r="AC15" i="8"/>
  <c r="Q14" i="9"/>
  <c r="S14" i="9"/>
  <c r="E16" i="8"/>
  <c r="G15" i="8"/>
  <c r="E15" i="7"/>
  <c r="G14" i="7"/>
  <c r="D16" i="9"/>
  <c r="O15" i="9"/>
  <c r="AC15" i="9"/>
  <c r="Y15" i="9"/>
  <c r="M15" i="9"/>
  <c r="Z14" i="8"/>
  <c r="V13" i="8"/>
  <c r="AB13" i="8" s="1"/>
  <c r="W13" i="8"/>
  <c r="Z14" i="9"/>
  <c r="AB13" i="9"/>
  <c r="Q14" i="8"/>
  <c r="J14" i="8"/>
  <c r="H15" i="8" s="1"/>
  <c r="S14" i="8"/>
  <c r="J12" i="7"/>
  <c r="H13" i="7" s="1"/>
  <c r="I13" i="7" s="1"/>
  <c r="T13" i="7" s="1"/>
  <c r="Q12" i="7"/>
  <c r="S12" i="7"/>
  <c r="R12" i="7"/>
  <c r="O16" i="7"/>
  <c r="D17" i="7"/>
  <c r="AC16" i="7"/>
  <c r="Y16" i="7"/>
  <c r="M16" i="7"/>
  <c r="E16" i="9"/>
  <c r="G15" i="9"/>
  <c r="I14" i="9" l="1"/>
  <c r="Q16" i="11"/>
  <c r="R16" i="11" s="1"/>
  <c r="G19" i="11"/>
  <c r="C13" i="12"/>
  <c r="B13" i="12"/>
  <c r="D15" i="12"/>
  <c r="H14" i="12"/>
  <c r="I13" i="12"/>
  <c r="J13" i="12" s="1"/>
  <c r="V14" i="8"/>
  <c r="W14" i="8" s="1"/>
  <c r="Z15" i="9"/>
  <c r="G16" i="9"/>
  <c r="E17" i="9"/>
  <c r="O16" i="8"/>
  <c r="Y16" i="8"/>
  <c r="M16" i="8"/>
  <c r="D17" i="8"/>
  <c r="AC16" i="8"/>
  <c r="G16" i="8"/>
  <c r="E17" i="8"/>
  <c r="J13" i="7"/>
  <c r="H14" i="7" s="1"/>
  <c r="Q13" i="7"/>
  <c r="S13" i="7"/>
  <c r="R13" i="7"/>
  <c r="O16" i="9"/>
  <c r="Y16" i="9"/>
  <c r="D17" i="9"/>
  <c r="AC16" i="9"/>
  <c r="M16" i="9"/>
  <c r="V14" i="9"/>
  <c r="T15" i="8"/>
  <c r="V12" i="7"/>
  <c r="W12" i="7" s="1"/>
  <c r="Z16" i="7"/>
  <c r="E16" i="7"/>
  <c r="G15" i="7"/>
  <c r="Z15" i="8"/>
  <c r="AC17" i="7"/>
  <c r="O17" i="7"/>
  <c r="Y17" i="7"/>
  <c r="D18" i="7"/>
  <c r="M17" i="7"/>
  <c r="J15" i="8"/>
  <c r="H16" i="8" s="1"/>
  <c r="Q15" i="8"/>
  <c r="S15" i="8"/>
  <c r="I15" i="8"/>
  <c r="R16" i="8" l="1"/>
  <c r="T14" i="9"/>
  <c r="AB14" i="9" s="1"/>
  <c r="J14" i="9"/>
  <c r="H15" i="9" s="1"/>
  <c r="AB12" i="7"/>
  <c r="D16" i="12"/>
  <c r="H15" i="12"/>
  <c r="C14" i="12"/>
  <c r="I14" i="12"/>
  <c r="J14" i="12" s="1"/>
  <c r="B14" i="12"/>
  <c r="Z16" i="8"/>
  <c r="Q16" i="8"/>
  <c r="S16" i="8"/>
  <c r="D18" i="9"/>
  <c r="Y17" i="9"/>
  <c r="AC17" i="9"/>
  <c r="O17" i="9"/>
  <c r="M17" i="9"/>
  <c r="E18" i="9"/>
  <c r="G17" i="9"/>
  <c r="V13" i="7"/>
  <c r="W13" i="7" s="1"/>
  <c r="O18" i="7"/>
  <c r="D19" i="7"/>
  <c r="AC18" i="7"/>
  <c r="Y18" i="7"/>
  <c r="M18" i="7"/>
  <c r="Z16" i="9"/>
  <c r="E18" i="8"/>
  <c r="G17" i="8"/>
  <c r="Z17" i="7"/>
  <c r="I16" i="8"/>
  <c r="J16" i="8" s="1"/>
  <c r="H17" i="8" s="1"/>
  <c r="V15" i="8"/>
  <c r="AB15" i="8" s="1"/>
  <c r="AB14" i="8"/>
  <c r="Q14" i="7"/>
  <c r="S14" i="7"/>
  <c r="R14" i="7"/>
  <c r="E17" i="7"/>
  <c r="G16" i="7"/>
  <c r="W14" i="9"/>
  <c r="I14" i="7"/>
  <c r="T14" i="7" s="1"/>
  <c r="D18" i="8"/>
  <c r="O17" i="8"/>
  <c r="M17" i="8"/>
  <c r="AC17" i="8"/>
  <c r="Y17" i="8"/>
  <c r="R15" i="9" l="1"/>
  <c r="Q15" i="9"/>
  <c r="S15" i="9"/>
  <c r="I15" i="9"/>
  <c r="T15" i="9" s="1"/>
  <c r="W15" i="8"/>
  <c r="I15" i="12"/>
  <c r="J15" i="12" s="1"/>
  <c r="H16" i="12"/>
  <c r="D17" i="12"/>
  <c r="B15" i="12"/>
  <c r="C15" i="12"/>
  <c r="Q17" i="8"/>
  <c r="S17" i="8"/>
  <c r="Z18" i="7"/>
  <c r="G18" i="9"/>
  <c r="E19" i="9"/>
  <c r="T16" i="8"/>
  <c r="W16" i="8" s="1"/>
  <c r="I17" i="8"/>
  <c r="T17" i="8" s="1"/>
  <c r="AC18" i="8"/>
  <c r="O18" i="8"/>
  <c r="M18" i="8"/>
  <c r="D19" i="8"/>
  <c r="Y18" i="8"/>
  <c r="Z17" i="8"/>
  <c r="E18" i="7"/>
  <c r="G17" i="7"/>
  <c r="V14" i="7"/>
  <c r="W14" i="7" s="1"/>
  <c r="AC19" i="7"/>
  <c r="O19" i="7"/>
  <c r="Y19" i="7"/>
  <c r="M19" i="7"/>
  <c r="D20" i="7"/>
  <c r="J14" i="7"/>
  <c r="H15" i="7" s="1"/>
  <c r="R17" i="8"/>
  <c r="E19" i="8"/>
  <c r="G18" i="8"/>
  <c r="AB13" i="7"/>
  <c r="Z17" i="9"/>
  <c r="V16" i="8"/>
  <c r="O18" i="9"/>
  <c r="Y18" i="9"/>
  <c r="D19" i="9"/>
  <c r="AC18" i="9"/>
  <c r="M18" i="9"/>
  <c r="AB16" i="8" l="1"/>
  <c r="V15" i="9"/>
  <c r="W15" i="9" s="1"/>
  <c r="J15" i="9"/>
  <c r="H16" i="9" s="1"/>
  <c r="AB14" i="7"/>
  <c r="J17" i="8"/>
  <c r="H18" i="8" s="1"/>
  <c r="R18" i="8" s="1"/>
  <c r="I16" i="12"/>
  <c r="J16" i="12" s="1"/>
  <c r="B16" i="12"/>
  <c r="C16" i="12"/>
  <c r="H17" i="12"/>
  <c r="D18" i="12"/>
  <c r="S15" i="7"/>
  <c r="Q15" i="7"/>
  <c r="R15" i="7"/>
  <c r="I15" i="7"/>
  <c r="T15" i="7" s="1"/>
  <c r="Z18" i="8"/>
  <c r="D20" i="9"/>
  <c r="Y19" i="9"/>
  <c r="O19" i="9"/>
  <c r="AC19" i="9"/>
  <c r="M19" i="9"/>
  <c r="Z19" i="7"/>
  <c r="G19" i="8"/>
  <c r="E20" i="8"/>
  <c r="D20" i="8"/>
  <c r="O19" i="8"/>
  <c r="Y19" i="8"/>
  <c r="AC19" i="8"/>
  <c r="M19" i="8"/>
  <c r="Z18" i="9"/>
  <c r="O20" i="7"/>
  <c r="D21" i="7"/>
  <c r="AC20" i="7"/>
  <c r="Y20" i="7"/>
  <c r="M20" i="7"/>
  <c r="E20" i="9"/>
  <c r="G19" i="9"/>
  <c r="V17" i="8"/>
  <c r="AB17" i="8" s="1"/>
  <c r="W17" i="8"/>
  <c r="E19" i="7"/>
  <c r="G18" i="7"/>
  <c r="S18" i="8" l="1"/>
  <c r="S16" i="9"/>
  <c r="I16" i="9"/>
  <c r="T16" i="9" s="1"/>
  <c r="R16" i="9"/>
  <c r="J16" i="9"/>
  <c r="H17" i="9" s="1"/>
  <c r="Q16" i="9"/>
  <c r="Q18" i="8"/>
  <c r="V18" i="8" s="1"/>
  <c r="AB15" i="9"/>
  <c r="J15" i="7"/>
  <c r="H16" i="7" s="1"/>
  <c r="I18" i="8"/>
  <c r="T18" i="8" s="1"/>
  <c r="I17" i="12"/>
  <c r="H18" i="12"/>
  <c r="D19" i="12"/>
  <c r="B17" i="12"/>
  <c r="B18" i="12" s="1"/>
  <c r="B19" i="12" s="1"/>
  <c r="B20" i="12" s="1"/>
  <c r="B21" i="12" s="1"/>
  <c r="B22" i="12" s="1"/>
  <c r="B23" i="12" s="1"/>
  <c r="B24" i="12" s="1"/>
  <c r="B25" i="12" s="1"/>
  <c r="J17" i="12"/>
  <c r="C17" i="12"/>
  <c r="C18" i="12" s="1"/>
  <c r="C19" i="12" s="1"/>
  <c r="C20" i="12" s="1"/>
  <c r="C21" i="12" s="1"/>
  <c r="C22" i="12" s="1"/>
  <c r="C23" i="12" s="1"/>
  <c r="C24" i="12" s="1"/>
  <c r="C25" i="12" s="1"/>
  <c r="Z20" i="7"/>
  <c r="Y20" i="8"/>
  <c r="D21" i="8"/>
  <c r="AC20" i="8"/>
  <c r="O20" i="8"/>
  <c r="M20" i="8"/>
  <c r="Q16" i="7"/>
  <c r="S16" i="7"/>
  <c r="R16" i="7"/>
  <c r="I16" i="7"/>
  <c r="T16" i="7" s="1"/>
  <c r="E20" i="7"/>
  <c r="G19" i="7"/>
  <c r="Z19" i="9"/>
  <c r="V15" i="7"/>
  <c r="W15" i="7" s="1"/>
  <c r="AB15" i="7"/>
  <c r="G20" i="9"/>
  <c r="E21" i="9"/>
  <c r="E21" i="8"/>
  <c r="G20" i="8"/>
  <c r="Z19" i="8"/>
  <c r="O20" i="9"/>
  <c r="Y20" i="9"/>
  <c r="D21" i="9"/>
  <c r="AC20" i="9"/>
  <c r="M20" i="9"/>
  <c r="D22" i="7"/>
  <c r="AC21" i="7"/>
  <c r="O21" i="7"/>
  <c r="Y21" i="7"/>
  <c r="M21" i="7"/>
  <c r="J16" i="7" l="1"/>
  <c r="H17" i="7" s="1"/>
  <c r="I17" i="7" s="1"/>
  <c r="T17" i="7" s="1"/>
  <c r="R17" i="9"/>
  <c r="Q17" i="9"/>
  <c r="I17" i="9"/>
  <c r="T17" i="9" s="1"/>
  <c r="S17" i="9"/>
  <c r="AB18" i="8"/>
  <c r="W18" i="8"/>
  <c r="J18" i="8"/>
  <c r="H19" i="8" s="1"/>
  <c r="V16" i="9"/>
  <c r="W16" i="9" s="1"/>
  <c r="H19" i="12"/>
  <c r="D20" i="12"/>
  <c r="I18" i="12"/>
  <c r="J18" i="12"/>
  <c r="Z20" i="9"/>
  <c r="Z21" i="7"/>
  <c r="S17" i="7"/>
  <c r="Q17" i="7"/>
  <c r="R17" i="7"/>
  <c r="D22" i="8"/>
  <c r="O21" i="8"/>
  <c r="Y21" i="8"/>
  <c r="AC21" i="8"/>
  <c r="M21" i="8"/>
  <c r="D22" i="9"/>
  <c r="O21" i="9"/>
  <c r="AC21" i="9"/>
  <c r="Y21" i="9"/>
  <c r="M21" i="9"/>
  <c r="O22" i="7"/>
  <c r="Y22" i="7"/>
  <c r="D23" i="7"/>
  <c r="AC22" i="7"/>
  <c r="M22" i="7"/>
  <c r="E21" i="7"/>
  <c r="G20" i="7"/>
  <c r="Z20" i="8"/>
  <c r="E22" i="9"/>
  <c r="G21" i="9"/>
  <c r="V16" i="7"/>
  <c r="W16" i="7" s="1"/>
  <c r="G21" i="8"/>
  <c r="E22" i="8"/>
  <c r="AB16" i="9" l="1"/>
  <c r="I19" i="8"/>
  <c r="T19" i="8" s="1"/>
  <c r="Q19" i="8"/>
  <c r="S19" i="8"/>
  <c r="R19" i="8"/>
  <c r="V17" i="9"/>
  <c r="W17" i="9" s="1"/>
  <c r="J17" i="9"/>
  <c r="H18" i="9" s="1"/>
  <c r="I19" i="12"/>
  <c r="J19" i="12" s="1"/>
  <c r="H20" i="12"/>
  <c r="D21" i="12"/>
  <c r="Z21" i="9"/>
  <c r="Y22" i="8"/>
  <c r="D23" i="8"/>
  <c r="O22" i="8"/>
  <c r="AC22" i="8"/>
  <c r="M22" i="8"/>
  <c r="Z22" i="7"/>
  <c r="AB16" i="7"/>
  <c r="E22" i="7"/>
  <c r="G21" i="7"/>
  <c r="O22" i="9"/>
  <c r="Y22" i="9"/>
  <c r="AC22" i="9"/>
  <c r="D23" i="9"/>
  <c r="M22" i="9"/>
  <c r="E23" i="8"/>
  <c r="G22" i="8"/>
  <c r="V17" i="7"/>
  <c r="AB17" i="7" s="1"/>
  <c r="G22" i="9"/>
  <c r="E23" i="9"/>
  <c r="D24" i="7"/>
  <c r="AC23" i="7"/>
  <c r="O23" i="7"/>
  <c r="Y23" i="7"/>
  <c r="M23" i="7"/>
  <c r="Z21" i="8"/>
  <c r="J17" i="7"/>
  <c r="H18" i="7" s="1"/>
  <c r="W19" i="8" l="1"/>
  <c r="V19" i="8"/>
  <c r="AB19" i="8" s="1"/>
  <c r="J19" i="8"/>
  <c r="H20" i="8" s="1"/>
  <c r="R18" i="9"/>
  <c r="Q18" i="9"/>
  <c r="S18" i="9"/>
  <c r="I18" i="9"/>
  <c r="T18" i="9" s="1"/>
  <c r="J18" i="9"/>
  <c r="H19" i="9" s="1"/>
  <c r="AB17" i="9"/>
  <c r="I20" i="12"/>
  <c r="J20" i="12" s="1"/>
  <c r="D22" i="12"/>
  <c r="H21" i="12"/>
  <c r="W17" i="7"/>
  <c r="E24" i="9"/>
  <c r="G23" i="9"/>
  <c r="D24" i="9"/>
  <c r="O23" i="9"/>
  <c r="AC23" i="9"/>
  <c r="Y23" i="9"/>
  <c r="M23" i="9"/>
  <c r="Z22" i="9"/>
  <c r="Z22" i="8"/>
  <c r="D24" i="8"/>
  <c r="O23" i="8"/>
  <c r="Y23" i="8"/>
  <c r="AC23" i="8"/>
  <c r="M23" i="8"/>
  <c r="J18" i="7"/>
  <c r="H19" i="7" s="1"/>
  <c r="Q18" i="7"/>
  <c r="S18" i="7"/>
  <c r="R18" i="7"/>
  <c r="I18" i="7"/>
  <c r="T18" i="7" s="1"/>
  <c r="Z23" i="7"/>
  <c r="G23" i="8"/>
  <c r="E24" i="8"/>
  <c r="O24" i="7"/>
  <c r="Y24" i="7"/>
  <c r="D25" i="7"/>
  <c r="AC24" i="7"/>
  <c r="M24" i="7"/>
  <c r="G22" i="7"/>
  <c r="E23" i="7"/>
  <c r="V18" i="9" l="1"/>
  <c r="AB18" i="9" s="1"/>
  <c r="R20" i="8"/>
  <c r="S20" i="8"/>
  <c r="I20" i="8"/>
  <c r="T20" i="8" s="1"/>
  <c r="Q20" i="8"/>
  <c r="J20" i="8"/>
  <c r="H21" i="8" s="1"/>
  <c r="R19" i="9"/>
  <c r="S19" i="9"/>
  <c r="Q19" i="9"/>
  <c r="I19" i="9"/>
  <c r="T19" i="9" s="1"/>
  <c r="J19" i="9"/>
  <c r="H20" i="9" s="1"/>
  <c r="I21" i="12"/>
  <c r="J21" i="12" s="1"/>
  <c r="H22" i="12"/>
  <c r="D23" i="12"/>
  <c r="Y24" i="8"/>
  <c r="D25" i="8"/>
  <c r="O24" i="8"/>
  <c r="AC24" i="8"/>
  <c r="M24" i="8"/>
  <c r="S19" i="7"/>
  <c r="Q19" i="7"/>
  <c r="R19" i="7"/>
  <c r="I19" i="7"/>
  <c r="T19" i="7" s="1"/>
  <c r="G24" i="9"/>
  <c r="E25" i="9"/>
  <c r="D26" i="7"/>
  <c r="AC25" i="7"/>
  <c r="O25" i="7"/>
  <c r="Y25" i="7"/>
  <c r="M25" i="7"/>
  <c r="O24" i="9"/>
  <c r="Y24" i="9"/>
  <c r="D25" i="9"/>
  <c r="AC24" i="9"/>
  <c r="M24" i="9"/>
  <c r="Z24" i="7"/>
  <c r="E24" i="7"/>
  <c r="G23" i="7"/>
  <c r="E25" i="8"/>
  <c r="G24" i="8"/>
  <c r="V18" i="7"/>
  <c r="W18" i="7" s="1"/>
  <c r="AB18" i="7"/>
  <c r="Z23" i="9"/>
  <c r="Z23" i="8"/>
  <c r="I20" i="9" l="1"/>
  <c r="T20" i="9" s="1"/>
  <c r="J20" i="9"/>
  <c r="H21" i="9" s="1"/>
  <c r="S20" i="9"/>
  <c r="R20" i="9"/>
  <c r="Q20" i="9"/>
  <c r="I21" i="8"/>
  <c r="R21" i="8"/>
  <c r="Q21" i="8"/>
  <c r="V21" i="8" s="1"/>
  <c r="S21" i="8"/>
  <c r="V19" i="9"/>
  <c r="AB19" i="9" s="1"/>
  <c r="W19" i="9"/>
  <c r="W18" i="9"/>
  <c r="W20" i="8"/>
  <c r="V20" i="8"/>
  <c r="AB20" i="8" s="1"/>
  <c r="I22" i="12"/>
  <c r="J22" i="12" s="1"/>
  <c r="D24" i="12"/>
  <c r="H23" i="12"/>
  <c r="G24" i="7"/>
  <c r="E25" i="7"/>
  <c r="E26" i="9"/>
  <c r="G25" i="9"/>
  <c r="D26" i="8"/>
  <c r="O25" i="8"/>
  <c r="Y25" i="8"/>
  <c r="AC25" i="8"/>
  <c r="M25" i="8"/>
  <c r="G25" i="8"/>
  <c r="E26" i="8"/>
  <c r="Z25" i="7"/>
  <c r="V19" i="7"/>
  <c r="W19" i="7" s="1"/>
  <c r="Z24" i="8"/>
  <c r="Z24" i="9"/>
  <c r="J19" i="7"/>
  <c r="H20" i="7" s="1"/>
  <c r="D26" i="9"/>
  <c r="Y25" i="9"/>
  <c r="AC25" i="9"/>
  <c r="O25" i="9"/>
  <c r="M25" i="9"/>
  <c r="O26" i="7"/>
  <c r="Y26" i="7"/>
  <c r="D27" i="7"/>
  <c r="AC26" i="7"/>
  <c r="M26" i="7"/>
  <c r="T21" i="8" l="1"/>
  <c r="J21" i="8"/>
  <c r="H22" i="8" s="1"/>
  <c r="V20" i="9"/>
  <c r="AB20" i="9" s="1"/>
  <c r="AB19" i="7"/>
  <c r="AB21" i="8"/>
  <c r="S21" i="9"/>
  <c r="R21" i="9"/>
  <c r="Q21" i="9"/>
  <c r="I21" i="9"/>
  <c r="T21" i="9" s="1"/>
  <c r="W21" i="8"/>
  <c r="D25" i="12"/>
  <c r="H25" i="12" s="1"/>
  <c r="H24" i="12"/>
  <c r="I23" i="12"/>
  <c r="J23" i="12" s="1"/>
  <c r="E26" i="7"/>
  <c r="G25" i="7"/>
  <c r="Y27" i="7"/>
  <c r="D28" i="7"/>
  <c r="M27" i="7"/>
  <c r="O27" i="7"/>
  <c r="AC27" i="7"/>
  <c r="Z25" i="9"/>
  <c r="O26" i="9"/>
  <c r="Y26" i="9"/>
  <c r="D27" i="9"/>
  <c r="AC26" i="9"/>
  <c r="M26" i="9"/>
  <c r="Y26" i="8"/>
  <c r="D27" i="8"/>
  <c r="O26" i="8"/>
  <c r="AC26" i="8"/>
  <c r="M26" i="8"/>
  <c r="Z25" i="8"/>
  <c r="Z26" i="7"/>
  <c r="E27" i="8"/>
  <c r="G26" i="8"/>
  <c r="Q20" i="7"/>
  <c r="S20" i="7"/>
  <c r="R20" i="7"/>
  <c r="I20" i="7"/>
  <c r="T20" i="7" s="1"/>
  <c r="G26" i="9"/>
  <c r="E27" i="9"/>
  <c r="V21" i="9" l="1"/>
  <c r="AB21" i="9" s="1"/>
  <c r="W20" i="9"/>
  <c r="J21" i="9"/>
  <c r="H22" i="9" s="1"/>
  <c r="Q22" i="8"/>
  <c r="I22" i="8"/>
  <c r="T22" i="8" s="1"/>
  <c r="S22" i="8"/>
  <c r="R22" i="8"/>
  <c r="J22" i="8"/>
  <c r="H23" i="8" s="1"/>
  <c r="I24" i="12"/>
  <c r="J24" i="12" s="1"/>
  <c r="I25" i="12"/>
  <c r="Z26" i="9"/>
  <c r="G26" i="7"/>
  <c r="E27" i="7"/>
  <c r="E28" i="9"/>
  <c r="G27" i="9"/>
  <c r="D28" i="8"/>
  <c r="O27" i="8"/>
  <c r="Y27" i="8"/>
  <c r="AC27" i="8"/>
  <c r="M27" i="8"/>
  <c r="V20" i="7"/>
  <c r="W20" i="7" s="1"/>
  <c r="AB20" i="7"/>
  <c r="Z26" i="8"/>
  <c r="J20" i="7"/>
  <c r="H21" i="7" s="1"/>
  <c r="D29" i="7"/>
  <c r="AC28" i="7"/>
  <c r="Y28" i="7"/>
  <c r="O28" i="7"/>
  <c r="M28" i="7"/>
  <c r="Z27" i="7"/>
  <c r="G27" i="8"/>
  <c r="E28" i="8"/>
  <c r="D28" i="9"/>
  <c r="Y27" i="9"/>
  <c r="O27" i="9"/>
  <c r="AC27" i="9"/>
  <c r="M27" i="9"/>
  <c r="W22" i="8" l="1"/>
  <c r="V22" i="8"/>
  <c r="AB22" i="8" s="1"/>
  <c r="Q22" i="9"/>
  <c r="R22" i="9"/>
  <c r="S22" i="9"/>
  <c r="I22" i="9"/>
  <c r="S23" i="8"/>
  <c r="I23" i="8"/>
  <c r="T23" i="8" s="1"/>
  <c r="Q23" i="8"/>
  <c r="R23" i="8"/>
  <c r="W21" i="9"/>
  <c r="J25" i="12"/>
  <c r="L24" i="12"/>
  <c r="L23" i="12" s="1"/>
  <c r="L22" i="12" s="1"/>
  <c r="L21" i="12" s="1"/>
  <c r="L20" i="12" s="1"/>
  <c r="L19" i="12" s="1"/>
  <c r="L18" i="12" s="1"/>
  <c r="L17" i="12" s="1"/>
  <c r="L16" i="12" s="1"/>
  <c r="L15" i="12" s="1"/>
  <c r="L14" i="12" s="1"/>
  <c r="L13" i="12" s="1"/>
  <c r="L12" i="12" s="1"/>
  <c r="L11" i="12" s="1"/>
  <c r="N24" i="12"/>
  <c r="N23" i="12" s="1"/>
  <c r="N22" i="12" s="1"/>
  <c r="N21" i="12" s="1"/>
  <c r="N20" i="12" s="1"/>
  <c r="N19" i="12" s="1"/>
  <c r="N18" i="12" s="1"/>
  <c r="N17" i="12" s="1"/>
  <c r="N16" i="12" s="1"/>
  <c r="N15" i="12" s="1"/>
  <c r="N14" i="12" s="1"/>
  <c r="N13" i="12" s="1"/>
  <c r="N12" i="12" s="1"/>
  <c r="N11" i="12" s="1"/>
  <c r="M24" i="12"/>
  <c r="M23" i="12" s="1"/>
  <c r="M22" i="12" s="1"/>
  <c r="M21" i="12" s="1"/>
  <c r="M20" i="12" s="1"/>
  <c r="M19" i="12" s="1"/>
  <c r="M18" i="12" s="1"/>
  <c r="M17" i="12" s="1"/>
  <c r="M16" i="12" s="1"/>
  <c r="M15" i="12" s="1"/>
  <c r="M14" i="12" s="1"/>
  <c r="M13" i="12" s="1"/>
  <c r="M12" i="12" s="1"/>
  <c r="M11" i="12" s="1"/>
  <c r="D3" i="13" s="1"/>
  <c r="K24" i="12"/>
  <c r="K23" i="12" s="1"/>
  <c r="K22" i="12" s="1"/>
  <c r="K21" i="12" s="1"/>
  <c r="K20" i="12" s="1"/>
  <c r="K19" i="12" s="1"/>
  <c r="K18" i="12" s="1"/>
  <c r="K17" i="12" s="1"/>
  <c r="K16" i="12" s="1"/>
  <c r="K15" i="12" s="1"/>
  <c r="K14" i="12" s="1"/>
  <c r="K13" i="12" s="1"/>
  <c r="K12" i="12" s="1"/>
  <c r="K11" i="12" s="1"/>
  <c r="D5" i="13" s="1"/>
  <c r="Z27" i="8"/>
  <c r="Y28" i="8"/>
  <c r="D29" i="8"/>
  <c r="AC28" i="8"/>
  <c r="O28" i="8"/>
  <c r="M28" i="8"/>
  <c r="Z27" i="9"/>
  <c r="E28" i="7"/>
  <c r="G27" i="7"/>
  <c r="O28" i="9"/>
  <c r="Y28" i="9"/>
  <c r="D29" i="9"/>
  <c r="AC28" i="9"/>
  <c r="M28" i="9"/>
  <c r="Z28" i="7"/>
  <c r="Y29" i="7"/>
  <c r="D30" i="7"/>
  <c r="O29" i="7"/>
  <c r="AC29" i="7"/>
  <c r="M29" i="7"/>
  <c r="Q21" i="7"/>
  <c r="S21" i="7"/>
  <c r="R21" i="7"/>
  <c r="I21" i="7"/>
  <c r="T21" i="7" s="1"/>
  <c r="E29" i="8"/>
  <c r="G28" i="8"/>
  <c r="G28" i="9"/>
  <c r="E29" i="9"/>
  <c r="V23" i="8" l="1"/>
  <c r="AB23" i="8" s="1"/>
  <c r="W23" i="8"/>
  <c r="J22" i="9"/>
  <c r="H23" i="9" s="1"/>
  <c r="T22" i="9"/>
  <c r="J21" i="7"/>
  <c r="H22" i="7" s="1"/>
  <c r="V22" i="9"/>
  <c r="AB22" i="9" s="1"/>
  <c r="W22" i="9"/>
  <c r="J23" i="8"/>
  <c r="H24" i="8" s="1"/>
  <c r="D4" i="13"/>
  <c r="AC29" i="8"/>
  <c r="O29" i="8"/>
  <c r="Y29" i="8"/>
  <c r="D30" i="8"/>
  <c r="M29" i="8"/>
  <c r="Q22" i="7"/>
  <c r="S22" i="7"/>
  <c r="R22" i="7"/>
  <c r="I22" i="7"/>
  <c r="T22" i="7" s="1"/>
  <c r="E29" i="7"/>
  <c r="G28" i="7"/>
  <c r="Z28" i="8"/>
  <c r="E30" i="8"/>
  <c r="G29" i="8"/>
  <c r="E30" i="9"/>
  <c r="G29" i="9"/>
  <c r="D31" i="7"/>
  <c r="AC30" i="7"/>
  <c r="O30" i="7"/>
  <c r="Y30" i="7"/>
  <c r="M30" i="7"/>
  <c r="D30" i="9"/>
  <c r="O29" i="9"/>
  <c r="AC29" i="9"/>
  <c r="Y29" i="9"/>
  <c r="M29" i="9"/>
  <c r="V21" i="7"/>
  <c r="W21" i="7" s="1"/>
  <c r="AB21" i="7"/>
  <c r="Z29" i="7"/>
  <c r="Z28" i="9"/>
  <c r="R24" i="8" l="1"/>
  <c r="S24" i="8"/>
  <c r="Q24" i="8"/>
  <c r="I24" i="8"/>
  <c r="T24" i="8" s="1"/>
  <c r="R23" i="9"/>
  <c r="S23" i="9"/>
  <c r="Q23" i="9"/>
  <c r="I23" i="9"/>
  <c r="T23" i="9" s="1"/>
  <c r="J24" i="8"/>
  <c r="H25" i="8" s="1"/>
  <c r="S25" i="8" s="1"/>
  <c r="Z29" i="8"/>
  <c r="G30" i="9"/>
  <c r="E31" i="9"/>
  <c r="O30" i="9"/>
  <c r="Y30" i="9"/>
  <c r="AC30" i="9"/>
  <c r="D31" i="9"/>
  <c r="M30" i="9"/>
  <c r="E30" i="7"/>
  <c r="G29" i="7"/>
  <c r="G30" i="8"/>
  <c r="E31" i="8"/>
  <c r="V22" i="7"/>
  <c r="W22" i="7" s="1"/>
  <c r="AB22" i="7"/>
  <c r="Z30" i="7"/>
  <c r="Z29" i="9"/>
  <c r="Y31" i="7"/>
  <c r="D32" i="7"/>
  <c r="O31" i="7"/>
  <c r="AC31" i="7"/>
  <c r="M31" i="7"/>
  <c r="J22" i="7"/>
  <c r="H23" i="7" s="1"/>
  <c r="D31" i="8"/>
  <c r="Y30" i="8"/>
  <c r="O30" i="8"/>
  <c r="AC30" i="8"/>
  <c r="M30" i="8"/>
  <c r="Q25" i="8" l="1"/>
  <c r="V23" i="9"/>
  <c r="AB23" i="9" s="1"/>
  <c r="W23" i="9"/>
  <c r="R25" i="8"/>
  <c r="I25" i="8"/>
  <c r="T25" i="8" s="1"/>
  <c r="J23" i="9"/>
  <c r="H24" i="9" s="1"/>
  <c r="V24" i="8"/>
  <c r="W24" i="8" s="1"/>
  <c r="AB24" i="8"/>
  <c r="D32" i="9"/>
  <c r="O31" i="9"/>
  <c r="AC31" i="9"/>
  <c r="Y31" i="9"/>
  <c r="M31" i="9"/>
  <c r="Z30" i="8"/>
  <c r="D32" i="8"/>
  <c r="AC31" i="8"/>
  <c r="Y31" i="8"/>
  <c r="O31" i="8"/>
  <c r="M31" i="8"/>
  <c r="Z30" i="9"/>
  <c r="V25" i="8"/>
  <c r="W25" i="8" s="1"/>
  <c r="G30" i="7"/>
  <c r="E31" i="7"/>
  <c r="D33" i="7"/>
  <c r="AC32" i="7"/>
  <c r="O32" i="7"/>
  <c r="Y32" i="7"/>
  <c r="M32" i="7"/>
  <c r="Z31" i="7"/>
  <c r="E32" i="8"/>
  <c r="G31" i="8"/>
  <c r="Q23" i="7"/>
  <c r="S23" i="7"/>
  <c r="R23" i="7"/>
  <c r="I23" i="7"/>
  <c r="T23" i="7" s="1"/>
  <c r="J25" i="8"/>
  <c r="H26" i="8" s="1"/>
  <c r="E32" i="9"/>
  <c r="G31" i="9"/>
  <c r="Q24" i="9" l="1"/>
  <c r="S24" i="9"/>
  <c r="R24" i="9"/>
  <c r="I24" i="9"/>
  <c r="T24" i="9" s="1"/>
  <c r="AB25" i="8"/>
  <c r="G32" i="8"/>
  <c r="E33" i="8"/>
  <c r="O32" i="9"/>
  <c r="Y32" i="9"/>
  <c r="D33" i="9"/>
  <c r="AC32" i="9"/>
  <c r="M32" i="9"/>
  <c r="Q26" i="8"/>
  <c r="S26" i="8"/>
  <c r="I26" i="8"/>
  <c r="T26" i="8" s="1"/>
  <c r="R26" i="8"/>
  <c r="Z31" i="8"/>
  <c r="E32" i="7"/>
  <c r="G31" i="7"/>
  <c r="V23" i="7"/>
  <c r="W23" i="7" s="1"/>
  <c r="AB23" i="7"/>
  <c r="J23" i="7"/>
  <c r="H24" i="7" s="1"/>
  <c r="G32" i="9"/>
  <c r="E33" i="9"/>
  <c r="Z31" i="9"/>
  <c r="Z32" i="7"/>
  <c r="Y33" i="7"/>
  <c r="D34" i="7"/>
  <c r="AC33" i="7"/>
  <c r="O33" i="7"/>
  <c r="M33" i="7"/>
  <c r="D33" i="8"/>
  <c r="AC32" i="8"/>
  <c r="Y32" i="8"/>
  <c r="O32" i="8"/>
  <c r="M32" i="8"/>
  <c r="V24" i="9" l="1"/>
  <c r="W24" i="9" s="1"/>
  <c r="J24" i="9"/>
  <c r="H25" i="9" s="1"/>
  <c r="E33" i="7"/>
  <c r="G32" i="7"/>
  <c r="Z32" i="8"/>
  <c r="Z32" i="9"/>
  <c r="AC33" i="8"/>
  <c r="O33" i="8"/>
  <c r="Y33" i="8"/>
  <c r="D34" i="8"/>
  <c r="M33" i="8"/>
  <c r="Q24" i="7"/>
  <c r="S24" i="7"/>
  <c r="R24" i="7"/>
  <c r="I24" i="7"/>
  <c r="T24" i="7" s="1"/>
  <c r="V26" i="8"/>
  <c r="W26" i="8" s="1"/>
  <c r="D34" i="9"/>
  <c r="Y33" i="9"/>
  <c r="AC33" i="9"/>
  <c r="O33" i="9"/>
  <c r="M33" i="9"/>
  <c r="E34" i="8"/>
  <c r="G34" i="8" s="1"/>
  <c r="G33" i="8"/>
  <c r="J26" i="8"/>
  <c r="H27" i="8" s="1"/>
  <c r="AC34" i="7"/>
  <c r="O34" i="7"/>
  <c r="Y34" i="7"/>
  <c r="M34" i="7"/>
  <c r="E34" i="9"/>
  <c r="G34" i="9" s="1"/>
  <c r="G33" i="9"/>
  <c r="Z33" i="7"/>
  <c r="S25" i="9" l="1"/>
  <c r="R25" i="9"/>
  <c r="Q25" i="9"/>
  <c r="I25" i="9"/>
  <c r="AB24" i="9"/>
  <c r="E34" i="7"/>
  <c r="G34" i="7" s="1"/>
  <c r="G33" i="7"/>
  <c r="Z34" i="7"/>
  <c r="Z33" i="9"/>
  <c r="J27" i="8"/>
  <c r="H28" i="8" s="1"/>
  <c r="Q27" i="8"/>
  <c r="S27" i="8"/>
  <c r="R27" i="8"/>
  <c r="I27" i="8"/>
  <c r="T27" i="8" s="1"/>
  <c r="AC34" i="9"/>
  <c r="O34" i="9"/>
  <c r="Y34" i="9"/>
  <c r="M34" i="9"/>
  <c r="J24" i="7"/>
  <c r="H25" i="7" s="1"/>
  <c r="Z33" i="8"/>
  <c r="AB26" i="8"/>
  <c r="V24" i="7"/>
  <c r="W24" i="7" s="1"/>
  <c r="AB24" i="7"/>
  <c r="AC34" i="8"/>
  <c r="Y34" i="8"/>
  <c r="O34" i="8"/>
  <c r="M34" i="8"/>
  <c r="J25" i="9" l="1"/>
  <c r="H26" i="9" s="1"/>
  <c r="T25" i="9"/>
  <c r="V25" i="9"/>
  <c r="AB25" i="9" s="1"/>
  <c r="Q28" i="8"/>
  <c r="S28" i="8"/>
  <c r="I28" i="8"/>
  <c r="T28" i="8" s="1"/>
  <c r="R28" i="8"/>
  <c r="Z34" i="9"/>
  <c r="Z34" i="8"/>
  <c r="Q25" i="7"/>
  <c r="S25" i="7"/>
  <c r="R25" i="7"/>
  <c r="I25" i="7"/>
  <c r="T25" i="7" s="1"/>
  <c r="V27" i="8"/>
  <c r="W27" i="8" s="1"/>
  <c r="AB27" i="8"/>
  <c r="J28" i="8" l="1"/>
  <c r="H29" i="8" s="1"/>
  <c r="J25" i="7"/>
  <c r="H26" i="7" s="1"/>
  <c r="W25" i="9"/>
  <c r="Q26" i="9"/>
  <c r="S26" i="9"/>
  <c r="R26" i="9"/>
  <c r="I26" i="9"/>
  <c r="T26" i="9" s="1"/>
  <c r="J26" i="7"/>
  <c r="H27" i="7" s="1"/>
  <c r="Q26" i="7"/>
  <c r="S26" i="7"/>
  <c r="R26" i="7"/>
  <c r="I26" i="7"/>
  <c r="T26" i="7" s="1"/>
  <c r="V28" i="8"/>
  <c r="W28" i="8"/>
  <c r="AB28" i="8"/>
  <c r="V25" i="7"/>
  <c r="W25" i="7" s="1"/>
  <c r="J29" i="8" l="1"/>
  <c r="H30" i="8" s="1"/>
  <c r="Q30" i="8" s="1"/>
  <c r="V26" i="9"/>
  <c r="W26" i="9" s="1"/>
  <c r="AB26" i="9"/>
  <c r="S29" i="8"/>
  <c r="Q29" i="8"/>
  <c r="J26" i="9"/>
  <c r="H27" i="9" s="1"/>
  <c r="I29" i="8"/>
  <c r="T29" i="8" s="1"/>
  <c r="R29" i="8"/>
  <c r="AB25" i="7"/>
  <c r="V29" i="8"/>
  <c r="W29" i="8" s="1"/>
  <c r="V26" i="7"/>
  <c r="W26" i="7" s="1"/>
  <c r="AB26" i="7"/>
  <c r="J27" i="7"/>
  <c r="H28" i="7" s="1"/>
  <c r="Q27" i="7"/>
  <c r="S27" i="7"/>
  <c r="R27" i="7"/>
  <c r="I27" i="7"/>
  <c r="T27" i="7" s="1"/>
  <c r="R27" i="9" l="1"/>
  <c r="Q27" i="9"/>
  <c r="I27" i="9"/>
  <c r="S27" i="9"/>
  <c r="I30" i="8"/>
  <c r="T30" i="8" s="1"/>
  <c r="R30" i="8"/>
  <c r="S30" i="8"/>
  <c r="V27" i="7"/>
  <c r="W27" i="7" s="1"/>
  <c r="Q28" i="7"/>
  <c r="S28" i="7"/>
  <c r="R28" i="7"/>
  <c r="I28" i="7"/>
  <c r="T28" i="7" s="1"/>
  <c r="AB29" i="8"/>
  <c r="V30" i="8"/>
  <c r="AB30" i="8" s="1"/>
  <c r="J27" i="9" l="1"/>
  <c r="H28" i="9" s="1"/>
  <c r="T27" i="9"/>
  <c r="J28" i="7"/>
  <c r="H29" i="7" s="1"/>
  <c r="Q29" i="7" s="1"/>
  <c r="V27" i="9"/>
  <c r="AB27" i="9" s="1"/>
  <c r="J30" i="8"/>
  <c r="H31" i="8" s="1"/>
  <c r="W30" i="8"/>
  <c r="AB27" i="7"/>
  <c r="V28" i="7"/>
  <c r="W28" i="7" s="1"/>
  <c r="AB28" i="7"/>
  <c r="I31" i="8" l="1"/>
  <c r="Q31" i="8"/>
  <c r="S31" i="8"/>
  <c r="R31" i="8"/>
  <c r="I29" i="7"/>
  <c r="R29" i="7"/>
  <c r="V29" i="7" s="1"/>
  <c r="S29" i="7"/>
  <c r="W27" i="9"/>
  <c r="Q28" i="9"/>
  <c r="I28" i="9"/>
  <c r="R28" i="9"/>
  <c r="S28" i="9"/>
  <c r="W29" i="7" l="1"/>
  <c r="T29" i="7"/>
  <c r="AB29" i="7" s="1"/>
  <c r="J29" i="7"/>
  <c r="H30" i="7" s="1"/>
  <c r="V28" i="9"/>
  <c r="J28" i="9"/>
  <c r="H29" i="9" s="1"/>
  <c r="T28" i="9"/>
  <c r="W28" i="9" s="1"/>
  <c r="V31" i="8"/>
  <c r="W31" i="8" s="1"/>
  <c r="T31" i="8"/>
  <c r="J31" i="8"/>
  <c r="H32" i="8" s="1"/>
  <c r="S32" i="8" l="1"/>
  <c r="Q32" i="8"/>
  <c r="R32" i="8"/>
  <c r="I32" i="8"/>
  <c r="T32" i="8" s="1"/>
  <c r="Q30" i="7"/>
  <c r="R30" i="7"/>
  <c r="S30" i="7"/>
  <c r="I30" i="7"/>
  <c r="J32" i="8"/>
  <c r="H33" i="8" s="1"/>
  <c r="I33" i="8" s="1"/>
  <c r="T33" i="8" s="1"/>
  <c r="AB31" i="8"/>
  <c r="I29" i="9"/>
  <c r="R29" i="9"/>
  <c r="Q29" i="9"/>
  <c r="S29" i="9"/>
  <c r="AB28" i="9"/>
  <c r="T30" i="7" l="1"/>
  <c r="J30" i="7"/>
  <c r="H31" i="7" s="1"/>
  <c r="Q33" i="8"/>
  <c r="S33" i="8"/>
  <c r="R33" i="8"/>
  <c r="V30" i="7"/>
  <c r="W30" i="7" s="1"/>
  <c r="AB30" i="7"/>
  <c r="J29" i="9"/>
  <c r="H30" i="9" s="1"/>
  <c r="T29" i="9"/>
  <c r="W29" i="9" s="1"/>
  <c r="V32" i="8"/>
  <c r="W32" i="8" s="1"/>
  <c r="AB29" i="9"/>
  <c r="V29" i="9"/>
  <c r="J33" i="8"/>
  <c r="H34" i="8" s="1"/>
  <c r="V33" i="8"/>
  <c r="AB33" i="8" s="1"/>
  <c r="AB32" i="8" l="1"/>
  <c r="Q31" i="7"/>
  <c r="S31" i="7"/>
  <c r="I31" i="7"/>
  <c r="T31" i="7" s="1"/>
  <c r="J31" i="7"/>
  <c r="H32" i="7" s="1"/>
  <c r="R31" i="7"/>
  <c r="I30" i="9"/>
  <c r="Q30" i="9"/>
  <c r="R30" i="9"/>
  <c r="S30" i="9"/>
  <c r="W33" i="8"/>
  <c r="J34" i="8"/>
  <c r="U34" i="8" s="1"/>
  <c r="Q34" i="8"/>
  <c r="S34" i="8"/>
  <c r="I34" i="8"/>
  <c r="T34" i="8" s="1"/>
  <c r="R34" i="8"/>
  <c r="V30" i="9" l="1"/>
  <c r="J30" i="9"/>
  <c r="H31" i="9" s="1"/>
  <c r="T30" i="9"/>
  <c r="AB30" i="9" s="1"/>
  <c r="S32" i="7"/>
  <c r="I32" i="7"/>
  <c r="R32" i="7"/>
  <c r="Q32" i="7"/>
  <c r="V31" i="7"/>
  <c r="W31" i="7" s="1"/>
  <c r="V34" i="8"/>
  <c r="W34" i="8" s="1"/>
  <c r="AF6" i="8"/>
  <c r="AB34" i="8"/>
  <c r="AF5" i="8" s="1"/>
  <c r="AB31" i="7" l="1"/>
  <c r="V32" i="7"/>
  <c r="AB32" i="7" s="1"/>
  <c r="T32" i="7"/>
  <c r="J32" i="7"/>
  <c r="H33" i="7" s="1"/>
  <c r="Q31" i="9"/>
  <c r="S31" i="9"/>
  <c r="I31" i="9"/>
  <c r="R31" i="9"/>
  <c r="AF8" i="8"/>
  <c r="W30" i="9"/>
  <c r="J31" i="9" l="1"/>
  <c r="H32" i="9" s="1"/>
  <c r="T31" i="9"/>
  <c r="V31" i="9"/>
  <c r="W31" i="9" s="1"/>
  <c r="AB31" i="9"/>
  <c r="S33" i="7"/>
  <c r="Q33" i="7"/>
  <c r="R33" i="7"/>
  <c r="I33" i="7"/>
  <c r="T33" i="7" s="1"/>
  <c r="W32" i="7"/>
  <c r="V33" i="7" l="1"/>
  <c r="W33" i="7" s="1"/>
  <c r="J33" i="7"/>
  <c r="H34" i="7" s="1"/>
  <c r="AB33" i="7"/>
  <c r="I32" i="9"/>
  <c r="R32" i="9"/>
  <c r="Q32" i="9"/>
  <c r="S32" i="9"/>
  <c r="S34" i="7" l="1"/>
  <c r="R34" i="7"/>
  <c r="I34" i="7"/>
  <c r="T34" i="7" s="1"/>
  <c r="Q34" i="7"/>
  <c r="V32" i="9"/>
  <c r="AB32" i="9"/>
  <c r="J32" i="9"/>
  <c r="H33" i="9" s="1"/>
  <c r="T32" i="9"/>
  <c r="W32" i="9" s="1"/>
  <c r="B6" i="2"/>
  <c r="B9" i="3" s="1"/>
  <c r="D9" i="3" s="1"/>
  <c r="B7" i="2"/>
  <c r="B10" i="3" s="1"/>
  <c r="D10" i="3" s="1"/>
  <c r="B8" i="2"/>
  <c r="B11" i="3" s="1"/>
  <c r="B9" i="2"/>
  <c r="B12" i="3" s="1"/>
  <c r="C9" i="3" s="1"/>
  <c r="B10" i="2"/>
  <c r="B13" i="3" s="1"/>
  <c r="B11" i="2"/>
  <c r="B14" i="3" s="1"/>
  <c r="B12" i="2"/>
  <c r="B15" i="3" s="1"/>
  <c r="D15" i="3" s="1"/>
  <c r="B13" i="2"/>
  <c r="B16" i="3" s="1"/>
  <c r="C13" i="3" s="1"/>
  <c r="B14" i="2"/>
  <c r="B17" i="3" s="1"/>
  <c r="D17" i="3" s="1"/>
  <c r="B15" i="2"/>
  <c r="B18" i="3" s="1"/>
  <c r="B16" i="2"/>
  <c r="B19" i="3" s="1"/>
  <c r="B17" i="2"/>
  <c r="B20" i="3" s="1"/>
  <c r="B18" i="2"/>
  <c r="B21" i="3" s="1"/>
  <c r="B19" i="2"/>
  <c r="B22" i="3" s="1"/>
  <c r="B20" i="2"/>
  <c r="B23" i="3" s="1"/>
  <c r="D23" i="3" s="1"/>
  <c r="B21" i="2"/>
  <c r="B24" i="3" s="1"/>
  <c r="B22" i="2"/>
  <c r="B25" i="3" s="1"/>
  <c r="B23" i="2"/>
  <c r="B26" i="3" s="1"/>
  <c r="B24" i="2"/>
  <c r="B27" i="3" s="1"/>
  <c r="B25" i="2"/>
  <c r="B28" i="3" s="1"/>
  <c r="B26" i="2"/>
  <c r="B29" i="3" s="1"/>
  <c r="B27" i="2"/>
  <c r="B30" i="3" s="1"/>
  <c r="B28" i="2"/>
  <c r="B31" i="3" s="1"/>
  <c r="D31" i="3" s="1"/>
  <c r="B29" i="2"/>
  <c r="B32" i="3" s="1"/>
  <c r="C29" i="3" s="1"/>
  <c r="B30" i="2"/>
  <c r="B33" i="3" s="1"/>
  <c r="B31" i="2"/>
  <c r="B34" i="3" s="1"/>
  <c r="B32" i="2"/>
  <c r="B35" i="3" s="1"/>
  <c r="B33" i="2"/>
  <c r="B36" i="3" s="1"/>
  <c r="C33" i="3" s="1"/>
  <c r="B34" i="2"/>
  <c r="B37" i="3" s="1"/>
  <c r="B35" i="2"/>
  <c r="B38" i="3" s="1"/>
  <c r="C35" i="3" s="1"/>
  <c r="B36" i="2"/>
  <c r="B39" i="3" s="1"/>
  <c r="D39" i="3" s="1"/>
  <c r="B37" i="2"/>
  <c r="B40" i="3" s="1"/>
  <c r="B38" i="2"/>
  <c r="B41" i="3" s="1"/>
  <c r="B39" i="2"/>
  <c r="B42" i="3" s="1"/>
  <c r="B40" i="2"/>
  <c r="B43" i="3" s="1"/>
  <c r="B41" i="2"/>
  <c r="B44" i="3" s="1"/>
  <c r="B42" i="2"/>
  <c r="B45" i="3" s="1"/>
  <c r="B43" i="2"/>
  <c r="B46" i="3" s="1"/>
  <c r="B44" i="2"/>
  <c r="B47" i="3" s="1"/>
  <c r="D47" i="3" s="1"/>
  <c r="B45" i="2"/>
  <c r="B48" i="3" s="1"/>
  <c r="C45" i="3" s="1"/>
  <c r="B46" i="2"/>
  <c r="B49" i="3" s="1"/>
  <c r="B47" i="2"/>
  <c r="B50" i="3" s="1"/>
  <c r="C47" i="3" s="1"/>
  <c r="B48" i="2"/>
  <c r="B51" i="3" s="1"/>
  <c r="B49" i="2"/>
  <c r="B52" i="3" s="1"/>
  <c r="C49" i="3" s="1"/>
  <c r="B50" i="2"/>
  <c r="B53" i="3" s="1"/>
  <c r="B51" i="2"/>
  <c r="B54" i="3" s="1"/>
  <c r="B52" i="2"/>
  <c r="B55" i="3" s="1"/>
  <c r="D55" i="3" s="1"/>
  <c r="B53" i="2"/>
  <c r="B56" i="3" s="1"/>
  <c r="B54" i="2"/>
  <c r="B57" i="3" s="1"/>
  <c r="B55" i="2"/>
  <c r="B58" i="3" s="1"/>
  <c r="B56" i="2"/>
  <c r="B59" i="3" s="1"/>
  <c r="B57" i="2"/>
  <c r="B60" i="3" s="1"/>
  <c r="B58" i="2"/>
  <c r="B61" i="3" s="1"/>
  <c r="B59" i="2"/>
  <c r="B62" i="3" s="1"/>
  <c r="B60" i="2"/>
  <c r="B63" i="3" s="1"/>
  <c r="D63" i="3" s="1"/>
  <c r="B61" i="2"/>
  <c r="B64" i="3" s="1"/>
  <c r="C61" i="3" s="1"/>
  <c r="B62" i="2"/>
  <c r="B65" i="3" s="1"/>
  <c r="B63" i="2"/>
  <c r="B66" i="3" s="1"/>
  <c r="B64" i="2"/>
  <c r="B67" i="3" s="1"/>
  <c r="B65" i="2"/>
  <c r="B68" i="3" s="1"/>
  <c r="C65" i="3" s="1"/>
  <c r="B66" i="2"/>
  <c r="B69" i="3" s="1"/>
  <c r="B67" i="2"/>
  <c r="B70" i="3" s="1"/>
  <c r="B68" i="2"/>
  <c r="B71" i="3" s="1"/>
  <c r="D71" i="3" s="1"/>
  <c r="B69" i="2"/>
  <c r="B72" i="3" s="1"/>
  <c r="B70" i="2"/>
  <c r="B73" i="3" s="1"/>
  <c r="B71" i="2"/>
  <c r="B74" i="3" s="1"/>
  <c r="B72" i="2"/>
  <c r="B75" i="3" s="1"/>
  <c r="B73" i="2"/>
  <c r="B76" i="3" s="1"/>
  <c r="C73" i="3" s="1"/>
  <c r="B74" i="2"/>
  <c r="B77" i="3" s="1"/>
  <c r="B75" i="2"/>
  <c r="B78" i="3" s="1"/>
  <c r="B76" i="2"/>
  <c r="B79" i="3" s="1"/>
  <c r="D79" i="3" s="1"/>
  <c r="B77" i="2"/>
  <c r="B80" i="3" s="1"/>
  <c r="C77" i="3" s="1"/>
  <c r="B78" i="2"/>
  <c r="B81" i="3" s="1"/>
  <c r="D81" i="3" s="1"/>
  <c r="B79" i="2"/>
  <c r="B82" i="3" s="1"/>
  <c r="B80" i="2"/>
  <c r="B83" i="3" s="1"/>
  <c r="B81" i="2"/>
  <c r="B84" i="3" s="1"/>
  <c r="C81" i="3" s="1"/>
  <c r="B82" i="2"/>
  <c r="B85" i="3" s="1"/>
  <c r="B83" i="2"/>
  <c r="B86" i="3" s="1"/>
  <c r="B84" i="2"/>
  <c r="B87" i="3" s="1"/>
  <c r="D87" i="3" s="1"/>
  <c r="B85" i="2"/>
  <c r="B88" i="3" s="1"/>
  <c r="B86" i="2"/>
  <c r="B89" i="3" s="1"/>
  <c r="D89" i="3" s="1"/>
  <c r="B87" i="2"/>
  <c r="B90" i="3" s="1"/>
  <c r="B88" i="2"/>
  <c r="B91" i="3" s="1"/>
  <c r="B89" i="2"/>
  <c r="B92" i="3" s="1"/>
  <c r="B90" i="2"/>
  <c r="B93" i="3" s="1"/>
  <c r="B91" i="2"/>
  <c r="B94" i="3" s="1"/>
  <c r="B92" i="2"/>
  <c r="B95" i="3" s="1"/>
  <c r="D95" i="3" s="1"/>
  <c r="B93" i="2"/>
  <c r="B96" i="3" s="1"/>
  <c r="C93" i="3" s="1"/>
  <c r="B94" i="2"/>
  <c r="B97" i="3" s="1"/>
  <c r="D97" i="3" s="1"/>
  <c r="B95" i="2"/>
  <c r="B98" i="3" s="1"/>
  <c r="B96" i="2"/>
  <c r="B99" i="3" s="1"/>
  <c r="B97" i="2"/>
  <c r="B100" i="3" s="1"/>
  <c r="C97" i="3" s="1"/>
  <c r="B98" i="2"/>
  <c r="B101" i="3" s="1"/>
  <c r="B99" i="2"/>
  <c r="B102" i="3" s="1"/>
  <c r="B100" i="2"/>
  <c r="B103" i="3" s="1"/>
  <c r="D103" i="3" s="1"/>
  <c r="B101" i="2"/>
  <c r="B104" i="3" s="1"/>
  <c r="B102" i="2"/>
  <c r="B105" i="3" s="1"/>
  <c r="D105" i="3" s="1"/>
  <c r="B103" i="2"/>
  <c r="B106" i="3" s="1"/>
  <c r="B104" i="2"/>
  <c r="B107" i="3" s="1"/>
  <c r="B105" i="2"/>
  <c r="B108" i="3" s="1"/>
  <c r="C105" i="3" s="1"/>
  <c r="B106" i="2"/>
  <c r="B109" i="3" s="1"/>
  <c r="B107" i="2"/>
  <c r="B110" i="3" s="1"/>
  <c r="B108" i="2"/>
  <c r="B111" i="3" s="1"/>
  <c r="D111" i="3" s="1"/>
  <c r="B109" i="2"/>
  <c r="B112" i="3" s="1"/>
  <c r="C109" i="3" s="1"/>
  <c r="B110" i="2"/>
  <c r="B113" i="3" s="1"/>
  <c r="D113" i="3" s="1"/>
  <c r="B111" i="2"/>
  <c r="B114" i="3" s="1"/>
  <c r="B112" i="2"/>
  <c r="B115" i="3" s="1"/>
  <c r="B113" i="2"/>
  <c r="B116" i="3" s="1"/>
  <c r="C113" i="3" s="1"/>
  <c r="B114" i="2"/>
  <c r="B117" i="3" s="1"/>
  <c r="B115" i="2"/>
  <c r="B118" i="3" s="1"/>
  <c r="B116" i="2"/>
  <c r="B119" i="3" s="1"/>
  <c r="D119" i="3" s="1"/>
  <c r="B117" i="2"/>
  <c r="B120" i="3" s="1"/>
  <c r="B118" i="2"/>
  <c r="B121" i="3" s="1"/>
  <c r="D121" i="3" s="1"/>
  <c r="B119" i="2"/>
  <c r="B122" i="3" s="1"/>
  <c r="B120" i="2"/>
  <c r="B123" i="3" s="1"/>
  <c r="B121" i="2"/>
  <c r="B124" i="3" s="1"/>
  <c r="B122" i="2"/>
  <c r="B125" i="3" s="1"/>
  <c r="B123" i="2"/>
  <c r="B126" i="3" s="1"/>
  <c r="B124" i="2"/>
  <c r="B127" i="3" s="1"/>
  <c r="D127" i="3" s="1"/>
  <c r="B125" i="2"/>
  <c r="B128" i="3" s="1"/>
  <c r="C125" i="3" s="1"/>
  <c r="B126" i="2"/>
  <c r="B129" i="3" s="1"/>
  <c r="D129" i="3" s="1"/>
  <c r="B127" i="2"/>
  <c r="B130" i="3" s="1"/>
  <c r="B128" i="2"/>
  <c r="B131" i="3" s="1"/>
  <c r="B129" i="2"/>
  <c r="B132" i="3" s="1"/>
  <c r="C129" i="3" s="1"/>
  <c r="B130" i="2"/>
  <c r="B133" i="3" s="1"/>
  <c r="B131" i="2"/>
  <c r="B134" i="3" s="1"/>
  <c r="B132" i="2"/>
  <c r="B135" i="3" s="1"/>
  <c r="D135" i="3" s="1"/>
  <c r="B133" i="2"/>
  <c r="B136" i="3" s="1"/>
  <c r="B134" i="2"/>
  <c r="B137" i="3" s="1"/>
  <c r="D137" i="3" s="1"/>
  <c r="B135" i="2"/>
  <c r="B138" i="3" s="1"/>
  <c r="B136" i="2"/>
  <c r="B139" i="3" s="1"/>
  <c r="B137" i="2"/>
  <c r="B140" i="3" s="1"/>
  <c r="C137" i="3" s="1"/>
  <c r="B138" i="2"/>
  <c r="B141" i="3" s="1"/>
  <c r="B139" i="2"/>
  <c r="B142" i="3" s="1"/>
  <c r="B140" i="2"/>
  <c r="B143" i="3" s="1"/>
  <c r="D143" i="3" s="1"/>
  <c r="B141" i="2"/>
  <c r="B144" i="3" s="1"/>
  <c r="C141" i="3" s="1"/>
  <c r="B142" i="2"/>
  <c r="B145" i="3" s="1"/>
  <c r="D145" i="3" s="1"/>
  <c r="B143" i="2"/>
  <c r="B146" i="3" s="1"/>
  <c r="B144" i="2"/>
  <c r="B147" i="3" s="1"/>
  <c r="B145" i="2"/>
  <c r="B148" i="3" s="1"/>
  <c r="C145" i="3" s="1"/>
  <c r="B146" i="2"/>
  <c r="B149" i="3" s="1"/>
  <c r="B147" i="2"/>
  <c r="B150" i="3" s="1"/>
  <c r="B148" i="2"/>
  <c r="B151" i="3" s="1"/>
  <c r="D151" i="3" s="1"/>
  <c r="B149" i="2"/>
  <c r="B152" i="3" s="1"/>
  <c r="B150" i="2"/>
  <c r="B153" i="3" s="1"/>
  <c r="D153" i="3" s="1"/>
  <c r="B151" i="2"/>
  <c r="B154" i="3" s="1"/>
  <c r="B152" i="2"/>
  <c r="B155" i="3" s="1"/>
  <c r="B153" i="2"/>
  <c r="B156" i="3" s="1"/>
  <c r="B154" i="2"/>
  <c r="B157" i="3" s="1"/>
  <c r="B155" i="2"/>
  <c r="B158" i="3" s="1"/>
  <c r="B156" i="2"/>
  <c r="B159" i="3" s="1"/>
  <c r="D159" i="3" s="1"/>
  <c r="B157" i="2"/>
  <c r="B160" i="3" s="1"/>
  <c r="C157" i="3" s="1"/>
  <c r="B158" i="2"/>
  <c r="B161" i="3" s="1"/>
  <c r="D161" i="3" s="1"/>
  <c r="B159" i="2"/>
  <c r="B162" i="3" s="1"/>
  <c r="B160" i="2"/>
  <c r="B163" i="3" s="1"/>
  <c r="B161" i="2"/>
  <c r="B164" i="3" s="1"/>
  <c r="C161" i="3" s="1"/>
  <c r="B162" i="2"/>
  <c r="B165" i="3" s="1"/>
  <c r="B163" i="2"/>
  <c r="B166" i="3" s="1"/>
  <c r="B164" i="2"/>
  <c r="B167" i="3" s="1"/>
  <c r="D167" i="3" s="1"/>
  <c r="B165" i="2"/>
  <c r="B168" i="3" s="1"/>
  <c r="B166" i="2"/>
  <c r="B169" i="3" s="1"/>
  <c r="D169" i="3" s="1"/>
  <c r="B167" i="2"/>
  <c r="B170" i="3" s="1"/>
  <c r="B168" i="2"/>
  <c r="B171" i="3" s="1"/>
  <c r="B169" i="2"/>
  <c r="B172" i="3" s="1"/>
  <c r="C169" i="3" s="1"/>
  <c r="B170" i="2"/>
  <c r="B173" i="3" s="1"/>
  <c r="B171" i="2"/>
  <c r="B174" i="3" s="1"/>
  <c r="B172" i="2"/>
  <c r="B175" i="3" s="1"/>
  <c r="D175" i="3" s="1"/>
  <c r="B173" i="2"/>
  <c r="B176" i="3" s="1"/>
  <c r="C173" i="3" s="1"/>
  <c r="B174" i="2"/>
  <c r="B177" i="3" s="1"/>
  <c r="D177" i="3" s="1"/>
  <c r="B175" i="2"/>
  <c r="B178" i="3" s="1"/>
  <c r="B176" i="2"/>
  <c r="B179" i="3" s="1"/>
  <c r="B177" i="2"/>
  <c r="B180" i="3" s="1"/>
  <c r="C177" i="3" s="1"/>
  <c r="B178" i="2"/>
  <c r="B181" i="3" s="1"/>
  <c r="B179" i="2"/>
  <c r="B182" i="3" s="1"/>
  <c r="B180" i="2"/>
  <c r="B183" i="3" s="1"/>
  <c r="D183" i="3" s="1"/>
  <c r="B181" i="2"/>
  <c r="B184" i="3" s="1"/>
  <c r="B182" i="2"/>
  <c r="B185" i="3" s="1"/>
  <c r="D185" i="3" s="1"/>
  <c r="B183" i="2"/>
  <c r="B186" i="3" s="1"/>
  <c r="B184" i="2"/>
  <c r="B187" i="3" s="1"/>
  <c r="B185" i="2"/>
  <c r="B188" i="3" s="1"/>
  <c r="B186" i="2"/>
  <c r="B189" i="3" s="1"/>
  <c r="B187" i="2"/>
  <c r="B190" i="3" s="1"/>
  <c r="B188" i="2"/>
  <c r="B191" i="3" s="1"/>
  <c r="D191" i="3" s="1"/>
  <c r="B189" i="2"/>
  <c r="B192" i="3" s="1"/>
  <c r="C189" i="3" s="1"/>
  <c r="B190" i="2"/>
  <c r="B193" i="3" s="1"/>
  <c r="D193" i="3" s="1"/>
  <c r="B191" i="2"/>
  <c r="B194" i="3" s="1"/>
  <c r="B192" i="2"/>
  <c r="B195" i="3" s="1"/>
  <c r="B193" i="2"/>
  <c r="B196" i="3" s="1"/>
  <c r="C193" i="3" s="1"/>
  <c r="B194" i="2"/>
  <c r="B197" i="3" s="1"/>
  <c r="B195" i="2"/>
  <c r="B198" i="3" s="1"/>
  <c r="B196" i="2"/>
  <c r="B199" i="3" s="1"/>
  <c r="D199" i="3" s="1"/>
  <c r="B197" i="2"/>
  <c r="B200" i="3" s="1"/>
  <c r="B198" i="2"/>
  <c r="B201" i="3" s="1"/>
  <c r="D201" i="3" s="1"/>
  <c r="B199" i="2"/>
  <c r="B202" i="3" s="1"/>
  <c r="B200" i="2"/>
  <c r="B203" i="3" s="1"/>
  <c r="B201" i="2"/>
  <c r="B204" i="3" s="1"/>
  <c r="C201" i="3" s="1"/>
  <c r="B202" i="2"/>
  <c r="B205" i="3" s="1"/>
  <c r="B203" i="2"/>
  <c r="B206" i="3" s="1"/>
  <c r="B204" i="2"/>
  <c r="B207" i="3" s="1"/>
  <c r="D207" i="3" s="1"/>
  <c r="B205" i="2"/>
  <c r="B208" i="3" s="1"/>
  <c r="C205" i="3" s="1"/>
  <c r="B206" i="2"/>
  <c r="B209" i="3" s="1"/>
  <c r="D209" i="3" s="1"/>
  <c r="B207" i="2"/>
  <c r="B210" i="3" s="1"/>
  <c r="B208" i="2"/>
  <c r="B211" i="3" s="1"/>
  <c r="B5" i="2"/>
  <c r="B8" i="3" s="1"/>
  <c r="D8" i="3" s="1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C57" i="3" l="1"/>
  <c r="D60" i="3"/>
  <c r="C21" i="3"/>
  <c r="D24" i="3"/>
  <c r="D11" i="3"/>
  <c r="C8" i="3"/>
  <c r="C153" i="3"/>
  <c r="D156" i="3"/>
  <c r="C117" i="3"/>
  <c r="D120" i="3"/>
  <c r="C69" i="3"/>
  <c r="D72" i="3"/>
  <c r="D202" i="3"/>
  <c r="C199" i="3"/>
  <c r="D190" i="3"/>
  <c r="C187" i="3"/>
  <c r="D178" i="3"/>
  <c r="C175" i="3"/>
  <c r="D166" i="3"/>
  <c r="C163" i="3"/>
  <c r="D154" i="3"/>
  <c r="C151" i="3"/>
  <c r="D142" i="3"/>
  <c r="C139" i="3"/>
  <c r="D130" i="3"/>
  <c r="C127" i="3"/>
  <c r="D118" i="3"/>
  <c r="C115" i="3"/>
  <c r="D106" i="3"/>
  <c r="C103" i="3"/>
  <c r="D94" i="3"/>
  <c r="C91" i="3"/>
  <c r="D82" i="3"/>
  <c r="C79" i="3"/>
  <c r="D70" i="3"/>
  <c r="C67" i="3"/>
  <c r="D58" i="3"/>
  <c r="C55" i="3"/>
  <c r="D46" i="3"/>
  <c r="C43" i="3"/>
  <c r="D34" i="3"/>
  <c r="C31" i="3"/>
  <c r="D22" i="3"/>
  <c r="C19" i="3"/>
  <c r="C165" i="3"/>
  <c r="D168" i="3"/>
  <c r="D189" i="3"/>
  <c r="C186" i="3"/>
  <c r="D69" i="3"/>
  <c r="C66" i="3"/>
  <c r="C149" i="3"/>
  <c r="D152" i="3"/>
  <c r="D210" i="3"/>
  <c r="C207" i="3"/>
  <c r="D198" i="3"/>
  <c r="C195" i="3"/>
  <c r="D186" i="3"/>
  <c r="C183" i="3"/>
  <c r="D174" i="3"/>
  <c r="C171" i="3"/>
  <c r="D162" i="3"/>
  <c r="C159" i="3"/>
  <c r="D150" i="3"/>
  <c r="C147" i="3"/>
  <c r="D138" i="3"/>
  <c r="C135" i="3"/>
  <c r="D126" i="3"/>
  <c r="C123" i="3"/>
  <c r="D114" i="3"/>
  <c r="C111" i="3"/>
  <c r="D102" i="3"/>
  <c r="C99" i="3"/>
  <c r="D90" i="3"/>
  <c r="C87" i="3"/>
  <c r="D78" i="3"/>
  <c r="C75" i="3"/>
  <c r="D66" i="3"/>
  <c r="C63" i="3"/>
  <c r="D54" i="3"/>
  <c r="C51" i="3"/>
  <c r="D42" i="3"/>
  <c r="C39" i="3"/>
  <c r="D30" i="3"/>
  <c r="C27" i="3"/>
  <c r="D18" i="3"/>
  <c r="C15" i="3"/>
  <c r="D117" i="3"/>
  <c r="C114" i="3"/>
  <c r="D93" i="3"/>
  <c r="C90" i="3"/>
  <c r="C185" i="3"/>
  <c r="D188" i="3"/>
  <c r="D173" i="3"/>
  <c r="C170" i="3"/>
  <c r="D165" i="3"/>
  <c r="C162" i="3"/>
  <c r="D141" i="3"/>
  <c r="C138" i="3"/>
  <c r="D45" i="3"/>
  <c r="C42" i="3"/>
  <c r="D21" i="3"/>
  <c r="C18" i="3"/>
  <c r="C197" i="3"/>
  <c r="D200" i="3"/>
  <c r="C101" i="3"/>
  <c r="D104" i="3"/>
  <c r="C89" i="3"/>
  <c r="D92" i="3"/>
  <c r="L17" i="3" s="1"/>
  <c r="C53" i="3"/>
  <c r="D56" i="3"/>
  <c r="D197" i="3"/>
  <c r="C194" i="3"/>
  <c r="D149" i="3"/>
  <c r="C146" i="3"/>
  <c r="D125" i="3"/>
  <c r="C122" i="3"/>
  <c r="D101" i="3"/>
  <c r="C98" i="3"/>
  <c r="D77" i="3"/>
  <c r="C74" i="3"/>
  <c r="D53" i="3"/>
  <c r="C50" i="3"/>
  <c r="D29" i="3"/>
  <c r="C26" i="3"/>
  <c r="C181" i="3"/>
  <c r="D184" i="3"/>
  <c r="C133" i="3"/>
  <c r="D136" i="3"/>
  <c r="C121" i="3"/>
  <c r="D124" i="3"/>
  <c r="C85" i="3"/>
  <c r="D88" i="3"/>
  <c r="C37" i="3"/>
  <c r="D40" i="3"/>
  <c r="C25" i="3"/>
  <c r="D28" i="3"/>
  <c r="D206" i="3"/>
  <c r="C203" i="3"/>
  <c r="D194" i="3"/>
  <c r="L34" i="3" s="1"/>
  <c r="C191" i="3"/>
  <c r="D182" i="3"/>
  <c r="L32" i="3" s="1"/>
  <c r="C179" i="3"/>
  <c r="D170" i="3"/>
  <c r="C167" i="3"/>
  <c r="D158" i="3"/>
  <c r="C155" i="3"/>
  <c r="D146" i="3"/>
  <c r="C143" i="3"/>
  <c r="D134" i="3"/>
  <c r="C131" i="3"/>
  <c r="D122" i="3"/>
  <c r="C119" i="3"/>
  <c r="D110" i="3"/>
  <c r="L20" i="3" s="1"/>
  <c r="C107" i="3"/>
  <c r="D98" i="3"/>
  <c r="L18" i="3" s="1"/>
  <c r="C95" i="3"/>
  <c r="D86" i="3"/>
  <c r="C83" i="3"/>
  <c r="D74" i="3"/>
  <c r="C71" i="3"/>
  <c r="D62" i="3"/>
  <c r="C59" i="3"/>
  <c r="D26" i="3"/>
  <c r="C23" i="3"/>
  <c r="D14" i="3"/>
  <c r="C11" i="3"/>
  <c r="D205" i="3"/>
  <c r="C202" i="3"/>
  <c r="D181" i="3"/>
  <c r="C178" i="3"/>
  <c r="D157" i="3"/>
  <c r="C154" i="3"/>
  <c r="D133" i="3"/>
  <c r="C130" i="3"/>
  <c r="D109" i="3"/>
  <c r="C106" i="3"/>
  <c r="D85" i="3"/>
  <c r="C82" i="3"/>
  <c r="D61" i="3"/>
  <c r="C58" i="3"/>
  <c r="D37" i="3"/>
  <c r="C34" i="3"/>
  <c r="D13" i="3"/>
  <c r="C10" i="3"/>
  <c r="I33" i="9"/>
  <c r="R33" i="9"/>
  <c r="Q33" i="9"/>
  <c r="S33" i="9"/>
  <c r="J34" i="7"/>
  <c r="V34" i="7"/>
  <c r="W34" i="7" s="1"/>
  <c r="AF6" i="7"/>
  <c r="C41" i="3"/>
  <c r="C17" i="3"/>
  <c r="G5" i="3"/>
  <c r="C206" i="3"/>
  <c r="C190" i="3"/>
  <c r="C174" i="3"/>
  <c r="C158" i="3"/>
  <c r="C142" i="3"/>
  <c r="C126" i="3"/>
  <c r="C110" i="3"/>
  <c r="C94" i="3"/>
  <c r="C78" i="3"/>
  <c r="D196" i="3"/>
  <c r="D164" i="3"/>
  <c r="D132" i="3"/>
  <c r="D100" i="3"/>
  <c r="D68" i="3"/>
  <c r="D36" i="3"/>
  <c r="C208" i="3"/>
  <c r="D211" i="3"/>
  <c r="C200" i="3"/>
  <c r="D203" i="3"/>
  <c r="C192" i="3"/>
  <c r="D195" i="3"/>
  <c r="C184" i="3"/>
  <c r="D187" i="3"/>
  <c r="C176" i="3"/>
  <c r="D179" i="3"/>
  <c r="C168" i="3"/>
  <c r="D171" i="3"/>
  <c r="C160" i="3"/>
  <c r="D163" i="3"/>
  <c r="C152" i="3"/>
  <c r="D155" i="3"/>
  <c r="C144" i="3"/>
  <c r="D147" i="3"/>
  <c r="C136" i="3"/>
  <c r="D139" i="3"/>
  <c r="C128" i="3"/>
  <c r="D131" i="3"/>
  <c r="C120" i="3"/>
  <c r="D123" i="3"/>
  <c r="C112" i="3"/>
  <c r="D115" i="3"/>
  <c r="C104" i="3"/>
  <c r="D107" i="3"/>
  <c r="C96" i="3"/>
  <c r="D99" i="3"/>
  <c r="C88" i="3"/>
  <c r="D91" i="3"/>
  <c r="C80" i="3"/>
  <c r="D83" i="3"/>
  <c r="C72" i="3"/>
  <c r="D75" i="3"/>
  <c r="C64" i="3"/>
  <c r="D67" i="3"/>
  <c r="C56" i="3"/>
  <c r="D59" i="3"/>
  <c r="C48" i="3"/>
  <c r="D51" i="3"/>
  <c r="C40" i="3"/>
  <c r="D43" i="3"/>
  <c r="C32" i="3"/>
  <c r="D35" i="3"/>
  <c r="C24" i="3"/>
  <c r="D27" i="3"/>
  <c r="C16" i="3"/>
  <c r="D19" i="3"/>
  <c r="D192" i="3"/>
  <c r="D160" i="3"/>
  <c r="D128" i="3"/>
  <c r="D96" i="3"/>
  <c r="D64" i="3"/>
  <c r="D32" i="3"/>
  <c r="L7" i="3" s="1"/>
  <c r="C198" i="3"/>
  <c r="C182" i="3"/>
  <c r="C166" i="3"/>
  <c r="C150" i="3"/>
  <c r="C134" i="3"/>
  <c r="C118" i="3"/>
  <c r="C102" i="3"/>
  <c r="C86" i="3"/>
  <c r="D180" i="3"/>
  <c r="D148" i="3"/>
  <c r="D116" i="3"/>
  <c r="L24" i="3" s="1"/>
  <c r="D84" i="3"/>
  <c r="D52" i="3"/>
  <c r="D20" i="3"/>
  <c r="D73" i="3"/>
  <c r="C70" i="3"/>
  <c r="D57" i="3"/>
  <c r="C54" i="3"/>
  <c r="D49" i="3"/>
  <c r="C46" i="3"/>
  <c r="D41" i="3"/>
  <c r="C38" i="3"/>
  <c r="D33" i="3"/>
  <c r="C30" i="3"/>
  <c r="D25" i="3"/>
  <c r="C22" i="3"/>
  <c r="D208" i="3"/>
  <c r="D176" i="3"/>
  <c r="D144" i="3"/>
  <c r="D112" i="3"/>
  <c r="D80" i="3"/>
  <c r="L15" i="3" s="1"/>
  <c r="D48" i="3"/>
  <c r="D16" i="3"/>
  <c r="D65" i="3"/>
  <c r="C62" i="3"/>
  <c r="D204" i="3"/>
  <c r="D172" i="3"/>
  <c r="D140" i="3"/>
  <c r="L26" i="3" s="1"/>
  <c r="D108" i="3"/>
  <c r="D76" i="3"/>
  <c r="D44" i="3"/>
  <c r="L9" i="3" s="1"/>
  <c r="D12" i="3"/>
  <c r="C14" i="3"/>
  <c r="D50" i="3"/>
  <c r="C204" i="3"/>
  <c r="C196" i="3"/>
  <c r="C188" i="3"/>
  <c r="C180" i="3"/>
  <c r="C172" i="3"/>
  <c r="C164" i="3"/>
  <c r="C156" i="3"/>
  <c r="C148" i="3"/>
  <c r="C140" i="3"/>
  <c r="C132" i="3"/>
  <c r="C124" i="3"/>
  <c r="C116" i="3"/>
  <c r="C108" i="3"/>
  <c r="C100" i="3"/>
  <c r="C92" i="3"/>
  <c r="C84" i="3"/>
  <c r="C76" i="3"/>
  <c r="C68" i="3"/>
  <c r="C60" i="3"/>
  <c r="C52" i="3"/>
  <c r="C44" i="3"/>
  <c r="C36" i="3"/>
  <c r="C28" i="3"/>
  <c r="C20" i="3"/>
  <c r="C12" i="3"/>
  <c r="D38" i="3"/>
  <c r="L8" i="3" s="1"/>
  <c r="L31" i="3"/>
  <c r="L13" i="3"/>
  <c r="L29" i="3"/>
  <c r="L5" i="3"/>
  <c r="L16" i="3"/>
  <c r="L11" i="3"/>
  <c r="L19" i="3"/>
  <c r="L27" i="3"/>
  <c r="L14" i="3"/>
  <c r="L22" i="3"/>
  <c r="L30" i="3"/>
  <c r="L25" i="3"/>
  <c r="L12" i="3"/>
  <c r="L6" i="3"/>
  <c r="L23" i="3"/>
  <c r="L28" i="3"/>
  <c r="L10" i="3"/>
  <c r="L35" i="3" l="1"/>
  <c r="AB34" i="7"/>
  <c r="AF5" i="7" s="1"/>
  <c r="AF8" i="7" s="1"/>
  <c r="AF9" i="8" s="1"/>
  <c r="V33" i="9"/>
  <c r="L21" i="3"/>
  <c r="J33" i="9"/>
  <c r="H34" i="9" s="1"/>
  <c r="T33" i="9"/>
  <c r="W33" i="9" s="1"/>
  <c r="L33" i="3"/>
  <c r="M33" i="3" s="1"/>
  <c r="H11" i="3"/>
  <c r="H14" i="3"/>
  <c r="H22" i="3"/>
  <c r="H18" i="3"/>
  <c r="H27" i="3"/>
  <c r="H24" i="3"/>
  <c r="H16" i="3"/>
  <c r="H8" i="3"/>
  <c r="H32" i="3"/>
  <c r="H29" i="3"/>
  <c r="H33" i="3"/>
  <c r="H25" i="3"/>
  <c r="H17" i="3"/>
  <c r="H9" i="3"/>
  <c r="H5" i="3"/>
  <c r="H21" i="3"/>
  <c r="H13" i="3"/>
  <c r="H26" i="3"/>
  <c r="H31" i="3"/>
  <c r="H6" i="3"/>
  <c r="H35" i="3"/>
  <c r="H23" i="3"/>
  <c r="M31" i="3"/>
  <c r="M23" i="3"/>
  <c r="M15" i="3"/>
  <c r="M7" i="3"/>
  <c r="M6" i="3"/>
  <c r="M28" i="3"/>
  <c r="M20" i="3"/>
  <c r="M12" i="3"/>
  <c r="M17" i="3"/>
  <c r="M14" i="3"/>
  <c r="M25" i="3"/>
  <c r="M9" i="3"/>
  <c r="M35" i="3"/>
  <c r="M27" i="3"/>
  <c r="M19" i="3"/>
  <c r="M11" i="3"/>
  <c r="M21" i="3"/>
  <c r="M18" i="3"/>
  <c r="M30" i="3"/>
  <c r="M22" i="3"/>
  <c r="M32" i="3"/>
  <c r="M24" i="3"/>
  <c r="M16" i="3"/>
  <c r="M8" i="3"/>
  <c r="M10" i="3"/>
  <c r="M29" i="3"/>
  <c r="M13" i="3"/>
  <c r="M34" i="3"/>
  <c r="M26" i="3"/>
  <c r="H10" i="3"/>
  <c r="H20" i="3"/>
  <c r="H19" i="3"/>
  <c r="H15" i="3"/>
  <c r="H12" i="3"/>
  <c r="H34" i="3"/>
  <c r="H30" i="3"/>
  <c r="H7" i="3"/>
  <c r="H28" i="3"/>
  <c r="R34" i="9" l="1"/>
  <c r="S34" i="9"/>
  <c r="I34" i="9"/>
  <c r="Q34" i="9"/>
  <c r="AB33" i="9"/>
  <c r="I19" i="3"/>
  <c r="J19" i="3" s="1"/>
  <c r="I22" i="3"/>
  <c r="J22" i="3" s="1"/>
  <c r="I20" i="3"/>
  <c r="J20" i="3" s="1"/>
  <c r="K20" i="3" s="1"/>
  <c r="I16" i="3"/>
  <c r="J16" i="3" s="1"/>
  <c r="K16" i="3" s="1"/>
  <c r="N22" i="3"/>
  <c r="O22" i="3" s="1"/>
  <c r="K22" i="3"/>
  <c r="N20" i="3"/>
  <c r="O20" i="3" s="1"/>
  <c r="I7" i="3"/>
  <c r="J7" i="3" s="1"/>
  <c r="I12" i="3"/>
  <c r="J12" i="3" s="1"/>
  <c r="I13" i="3"/>
  <c r="J13" i="3" s="1"/>
  <c r="I15" i="3"/>
  <c r="J15" i="3" s="1"/>
  <c r="I21" i="3"/>
  <c r="J21" i="3" s="1"/>
  <c r="I8" i="3"/>
  <c r="J8" i="3" s="1"/>
  <c r="N19" i="3"/>
  <c r="O19" i="3" s="1"/>
  <c r="K19" i="3"/>
  <c r="I24" i="3"/>
  <c r="J24" i="3" s="1"/>
  <c r="I28" i="3"/>
  <c r="J28" i="3" s="1"/>
  <c r="I10" i="3"/>
  <c r="J10" i="3" s="1"/>
  <c r="I35" i="3"/>
  <c r="J35" i="3" s="1"/>
  <c r="I17" i="3"/>
  <c r="J17" i="3" s="1"/>
  <c r="I27" i="3"/>
  <c r="J27" i="3" s="1"/>
  <c r="I9" i="3"/>
  <c r="J9" i="3" s="1"/>
  <c r="I25" i="3"/>
  <c r="J25" i="3" s="1"/>
  <c r="I30" i="3"/>
  <c r="J30" i="3" s="1"/>
  <c r="I31" i="3"/>
  <c r="J31" i="3" s="1"/>
  <c r="I33" i="3"/>
  <c r="J33" i="3" s="1"/>
  <c r="I14" i="3"/>
  <c r="J14" i="3" s="1"/>
  <c r="I23" i="3"/>
  <c r="J23" i="3" s="1"/>
  <c r="I6" i="3"/>
  <c r="J6" i="3" s="1"/>
  <c r="I18" i="3"/>
  <c r="J18" i="3" s="1"/>
  <c r="I34" i="3"/>
  <c r="J34" i="3" s="1"/>
  <c r="I26" i="3"/>
  <c r="J26" i="3" s="1"/>
  <c r="I29" i="3"/>
  <c r="J29" i="3" s="1"/>
  <c r="I11" i="3"/>
  <c r="J11" i="3" s="1"/>
  <c r="I32" i="3"/>
  <c r="J32" i="3" s="1"/>
  <c r="V34" i="9" l="1"/>
  <c r="AF6" i="9"/>
  <c r="J34" i="9"/>
  <c r="T34" i="9"/>
  <c r="AB34" i="9" s="1"/>
  <c r="AF5" i="9" s="1"/>
  <c r="AF8" i="9" s="1"/>
  <c r="N16" i="3"/>
  <c r="O16" i="3" s="1"/>
  <c r="K13" i="3"/>
  <c r="N13" i="3"/>
  <c r="O13" i="3" s="1"/>
  <c r="K29" i="3"/>
  <c r="N29" i="3"/>
  <c r="O29" i="3" s="1"/>
  <c r="K31" i="3"/>
  <c r="N31" i="3"/>
  <c r="O31" i="3" s="1"/>
  <c r="N35" i="3"/>
  <c r="O35" i="3" s="1"/>
  <c r="K35" i="3"/>
  <c r="K15" i="3"/>
  <c r="N15" i="3"/>
  <c r="O15" i="3" s="1"/>
  <c r="K34" i="3"/>
  <c r="N34" i="3"/>
  <c r="O34" i="3" s="1"/>
  <c r="N30" i="3"/>
  <c r="O30" i="3" s="1"/>
  <c r="K30" i="3"/>
  <c r="N12" i="3"/>
  <c r="O12" i="3" s="1"/>
  <c r="K12" i="3"/>
  <c r="N24" i="3"/>
  <c r="O24" i="3" s="1"/>
  <c r="K24" i="3"/>
  <c r="K6" i="3"/>
  <c r="N6" i="3"/>
  <c r="O6" i="3" s="1"/>
  <c r="K23" i="3"/>
  <c r="N23" i="3"/>
  <c r="O23" i="3" s="1"/>
  <c r="K26" i="3"/>
  <c r="N26" i="3"/>
  <c r="O26" i="3" s="1"/>
  <c r="N25" i="3"/>
  <c r="O25" i="3" s="1"/>
  <c r="K25" i="3"/>
  <c r="K18" i="3"/>
  <c r="N18" i="3"/>
  <c r="O18" i="3" s="1"/>
  <c r="K7" i="3"/>
  <c r="N7" i="3"/>
  <c r="O7" i="3" s="1"/>
  <c r="N32" i="3"/>
  <c r="O32" i="3" s="1"/>
  <c r="K32" i="3"/>
  <c r="N14" i="3"/>
  <c r="O14" i="3" s="1"/>
  <c r="K14" i="3"/>
  <c r="K27" i="3"/>
  <c r="N27" i="3"/>
  <c r="O27" i="3" s="1"/>
  <c r="N8" i="3"/>
  <c r="O8" i="3" s="1"/>
  <c r="K8" i="3"/>
  <c r="K10" i="3"/>
  <c r="N10" i="3"/>
  <c r="O10" i="3" s="1"/>
  <c r="N28" i="3"/>
  <c r="O28" i="3" s="1"/>
  <c r="K28" i="3"/>
  <c r="N9" i="3"/>
  <c r="O9" i="3" s="1"/>
  <c r="K9" i="3"/>
  <c r="N11" i="3"/>
  <c r="O11" i="3" s="1"/>
  <c r="K11" i="3"/>
  <c r="N33" i="3"/>
  <c r="O33" i="3" s="1"/>
  <c r="K33" i="3"/>
  <c r="N17" i="3"/>
  <c r="O17" i="3" s="1"/>
  <c r="K17" i="3"/>
  <c r="K21" i="3"/>
  <c r="N21" i="3"/>
  <c r="O21" i="3" s="1"/>
  <c r="W34" i="9" l="1"/>
  <c r="K38" i="3"/>
  <c r="O38" i="3"/>
</calcChain>
</file>

<file path=xl/sharedStrings.xml><?xml version="1.0" encoding="utf-8"?>
<sst xmlns="http://schemas.openxmlformats.org/spreadsheetml/2006/main" count="235" uniqueCount="135">
  <si>
    <t>Year Month</t>
  </si>
  <si>
    <t>Index value</t>
  </si>
  <si>
    <t>Inflation rate</t>
  </si>
  <si>
    <t>Nominal amount</t>
  </si>
  <si>
    <t>Time in years</t>
  </si>
  <si>
    <t>Month</t>
  </si>
  <si>
    <t>Index value (with lag)</t>
  </si>
  <si>
    <t>Inflationary adjustment</t>
  </si>
  <si>
    <t>Money Payment</t>
  </si>
  <si>
    <t>PV Payment</t>
  </si>
  <si>
    <t>Index value (no lag)</t>
  </si>
  <si>
    <t>Real adjustment factor</t>
  </si>
  <si>
    <t>Payment in January 2004 units</t>
  </si>
  <si>
    <t>PV of payment in January 2004 units</t>
  </si>
  <si>
    <t>Coupon %</t>
  </si>
  <si>
    <t>Redemption %</t>
  </si>
  <si>
    <t>Month +3 months</t>
  </si>
  <si>
    <t>Applicable index value</t>
  </si>
  <si>
    <t>Total PV</t>
  </si>
  <si>
    <t>Money yield</t>
  </si>
  <si>
    <t>Real yield</t>
  </si>
  <si>
    <t>If the security provided full inflation protection then the real yield would be 1.5% per annum</t>
  </si>
  <si>
    <t>The actual real yield is less than this…</t>
  </si>
  <si>
    <t>…because of the effect of the time lag.</t>
  </si>
  <si>
    <t>In particular the secrity provides no inflation protection during the last 3 months of the term…</t>
  </si>
  <si>
    <t>…when the actual inflation rate is much higher than during the rest of the term</t>
  </si>
  <si>
    <t>Data</t>
  </si>
  <si>
    <t>Mortality Table</t>
  </si>
  <si>
    <t>Age</t>
  </si>
  <si>
    <t>Mortality Rates</t>
  </si>
  <si>
    <t>Probabilities</t>
  </si>
  <si>
    <t>Amounts</t>
  </si>
  <si>
    <t xml:space="preserve">Cash flows </t>
  </si>
  <si>
    <t>Reserves and Profit</t>
  </si>
  <si>
    <t>Key details</t>
  </si>
  <si>
    <t>Policy Year</t>
  </si>
  <si>
    <t>Ind Probability Death</t>
  </si>
  <si>
    <t>Probability Inforce at start</t>
  </si>
  <si>
    <t>Death</t>
  </si>
  <si>
    <t>Probability Inforce at end</t>
  </si>
  <si>
    <t>Premium</t>
  </si>
  <si>
    <t>Expense</t>
  </si>
  <si>
    <t>Commission</t>
  </si>
  <si>
    <t>Death Benefit (Including Annual Increase)</t>
  </si>
  <si>
    <t>CF Premium</t>
  </si>
  <si>
    <t>CF Expense</t>
  </si>
  <si>
    <t>CF Commission</t>
  </si>
  <si>
    <t>CF Death</t>
  </si>
  <si>
    <t>CF Maturity</t>
  </si>
  <si>
    <t>CF Interest on CF</t>
  </si>
  <si>
    <t>Net Cashflows</t>
  </si>
  <si>
    <t>Reserves at start</t>
  </si>
  <si>
    <t>Int on reserves</t>
  </si>
  <si>
    <t xml:space="preserve">Profit </t>
  </si>
  <si>
    <t>Discount Factor - RDR</t>
  </si>
  <si>
    <t>Policy Term</t>
  </si>
  <si>
    <t>EPV of Net Cashflows</t>
  </si>
  <si>
    <t>Sum Assured</t>
  </si>
  <si>
    <t>EPV of Premium Paid</t>
  </si>
  <si>
    <t>Increase in Sum Assured</t>
  </si>
  <si>
    <t>Annual Premium</t>
  </si>
  <si>
    <t>Profit Margin</t>
  </si>
  <si>
    <t>Initial Expenses</t>
  </si>
  <si>
    <t>Renewal Expenses</t>
  </si>
  <si>
    <t>Renewal Inflation Rate</t>
  </si>
  <si>
    <t>Initial Commission</t>
  </si>
  <si>
    <t>Renewal Commission</t>
  </si>
  <si>
    <t>Interest Rate</t>
  </si>
  <si>
    <t>Risk Discount Rate</t>
  </si>
  <si>
    <t>Copy Prev Worksheet</t>
  </si>
  <si>
    <t>The increase in reserves leads to deferment of profits to later durations</t>
  </si>
  <si>
    <t>The risk discount rate is higher than interest rate for accumulation of reserves leading to reduction in profit margin</t>
  </si>
  <si>
    <t>Expected Mortality</t>
  </si>
  <si>
    <t>Expected Expenses</t>
  </si>
  <si>
    <t>Actual Expenses</t>
  </si>
  <si>
    <t>Actual Investment Returns</t>
  </si>
  <si>
    <t>Actual Mortality</t>
  </si>
  <si>
    <t>Actual Reversionary Bonus Declared</t>
  </si>
  <si>
    <r>
      <t>q</t>
    </r>
    <r>
      <rPr>
        <vertAlign val="subscript"/>
        <sz val="10"/>
        <rFont val="Calibri"/>
        <family val="2"/>
        <scheme val="minor"/>
      </rPr>
      <t>x</t>
    </r>
  </si>
  <si>
    <t>Fixed Initial Expenses</t>
  </si>
  <si>
    <t>Renewal fixed expenses (payable annually in advance from second year of policy onwards)</t>
  </si>
  <si>
    <t>Premium related Expense</t>
  </si>
  <si>
    <t>Actual Investment Return achieved in calender year</t>
  </si>
  <si>
    <t>Actual mortality / Expected mortality</t>
  </si>
  <si>
    <t>Year</t>
  </si>
  <si>
    <t>Bonus per thousand SA</t>
  </si>
  <si>
    <t>Renewal Premium related expenses</t>
  </si>
  <si>
    <t>1st year</t>
  </si>
  <si>
    <t>Sub year</t>
  </si>
  <si>
    <t>Val Int rate</t>
  </si>
  <si>
    <t>Discount rate</t>
  </si>
  <si>
    <t>Inflation</t>
  </si>
  <si>
    <t>Basic SA</t>
  </si>
  <si>
    <t>Calculation of retrospective reserve</t>
  </si>
  <si>
    <t>t</t>
  </si>
  <si>
    <t>Basic Sum Assured</t>
  </si>
  <si>
    <t>Rev. Bonus rate</t>
  </si>
  <si>
    <t>Cumulative bonus</t>
  </si>
  <si>
    <r>
      <rPr>
        <sz val="11"/>
        <rFont val="Arial"/>
        <family val="2"/>
      </rPr>
      <t>q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(actual)</t>
    </r>
  </si>
  <si>
    <r>
      <t>Gross Policy Value</t>
    </r>
    <r>
      <rPr>
        <vertAlign val="subscript"/>
        <sz val="8"/>
        <color theme="1"/>
        <rFont val="Tahoma"/>
        <family val="2"/>
      </rPr>
      <t xml:space="preserve"> t-1</t>
    </r>
    <r>
      <rPr>
        <sz val="10"/>
        <rFont val="Arial"/>
        <family val="2"/>
      </rPr>
      <t>V b/f</t>
    </r>
  </si>
  <si>
    <t>Fixed Initial Expense</t>
  </si>
  <si>
    <t>Renewal Fixed Expense</t>
  </si>
  <si>
    <t>Premium related Expenses</t>
  </si>
  <si>
    <t>Investment return %</t>
  </si>
  <si>
    <r>
      <t>(</t>
    </r>
    <r>
      <rPr>
        <vertAlign val="subscript"/>
        <sz val="10"/>
        <rFont val="Calibri"/>
        <family val="2"/>
        <scheme val="minor"/>
      </rPr>
      <t>t-1</t>
    </r>
    <r>
      <rPr>
        <sz val="10"/>
        <rFont val="Calibri"/>
        <family val="2"/>
        <scheme val="minor"/>
      </rPr>
      <t>V + P-IE-RE) @ end year</t>
    </r>
  </si>
  <si>
    <t>Death Claim</t>
  </si>
  <si>
    <t>Total End year</t>
  </si>
  <si>
    <r>
      <t xml:space="preserve">Retrospective Reserve </t>
    </r>
    <r>
      <rPr>
        <vertAlign val="subscript"/>
        <sz val="8"/>
        <color theme="1"/>
        <rFont val="Tahoma"/>
        <family val="2"/>
      </rPr>
      <t>t</t>
    </r>
    <r>
      <rPr>
        <sz val="10"/>
        <rFont val="Arial"/>
        <family val="2"/>
      </rPr>
      <t>V c/f</t>
    </r>
  </si>
  <si>
    <t xml:space="preserve">Retrospective Reserve after 11th policy anniversary </t>
  </si>
  <si>
    <t>Rev bonus rate</t>
  </si>
  <si>
    <t>Cummulative bonus</t>
  </si>
  <si>
    <t>Reversionary Bonus rate</t>
  </si>
  <si>
    <t>per thousand BSA</t>
  </si>
  <si>
    <r>
      <t>Inflation adjusted interest rate (i</t>
    </r>
    <r>
      <rPr>
        <vertAlign val="superscript"/>
        <sz val="11"/>
        <color theme="1"/>
        <rFont val="Calibri"/>
        <family val="2"/>
        <scheme val="minor"/>
      </rPr>
      <t>/</t>
    </r>
    <r>
      <rPr>
        <sz val="12"/>
        <color theme="1"/>
        <rFont val="Calibri"/>
        <family val="2"/>
        <scheme val="minor"/>
      </rPr>
      <t>)</t>
    </r>
  </si>
  <si>
    <t xml:space="preserve">(i - e) / (1 + e) </t>
  </si>
  <si>
    <r>
      <t>Corresponding discount rate (v</t>
    </r>
    <r>
      <rPr>
        <vertAlign val="superscript"/>
        <sz val="11"/>
        <color theme="1"/>
        <rFont val="Calibri"/>
        <family val="2"/>
        <scheme val="minor"/>
      </rPr>
      <t>/</t>
    </r>
    <r>
      <rPr>
        <sz val="12"/>
        <color theme="1"/>
        <rFont val="Calibri"/>
        <family val="2"/>
        <scheme val="minor"/>
      </rPr>
      <t>)</t>
    </r>
  </si>
  <si>
    <r>
      <t>1 / (1 + i</t>
    </r>
    <r>
      <rPr>
        <vertAlign val="superscript"/>
        <sz val="11"/>
        <color rgb="FFFF0000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)</t>
    </r>
  </si>
  <si>
    <t>Calculation of Assurance and annuity functions:</t>
  </si>
  <si>
    <r>
      <t>p</t>
    </r>
    <r>
      <rPr>
        <vertAlign val="subscript"/>
        <sz val="10"/>
        <rFont val="Calibri"/>
        <family val="2"/>
        <scheme val="minor"/>
      </rPr>
      <t>x</t>
    </r>
  </si>
  <si>
    <r>
      <rPr>
        <vertAlign val="subscript"/>
        <sz val="10"/>
        <rFont val="Calibri"/>
        <family val="2"/>
        <scheme val="minor"/>
      </rPr>
      <t>(t-1)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x</t>
    </r>
  </si>
  <si>
    <r>
      <t>A</t>
    </r>
    <r>
      <rPr>
        <vertAlign val="superscript"/>
        <sz val="10"/>
        <rFont val="Calibri"/>
        <family val="2"/>
        <scheme val="minor"/>
      </rPr>
      <t>1</t>
    </r>
    <r>
      <rPr>
        <vertAlign val="subscript"/>
        <sz val="10"/>
        <rFont val="Calibri"/>
        <family val="2"/>
        <scheme val="minor"/>
      </rPr>
      <t>x+t:n-t</t>
    </r>
    <r>
      <rPr>
        <sz val="10"/>
        <rFont val="Calibri"/>
        <family val="2"/>
        <scheme val="minor"/>
      </rPr>
      <t>-</t>
    </r>
    <r>
      <rPr>
        <vertAlign val="subscript"/>
        <sz val="10"/>
        <rFont val="Calibri"/>
        <family val="2"/>
        <scheme val="minor"/>
      </rPr>
      <t>|</t>
    </r>
  </si>
  <si>
    <r>
      <t>A</t>
    </r>
    <r>
      <rPr>
        <vertAlign val="subscript"/>
        <sz val="10"/>
        <rFont val="Calibri"/>
        <family val="2"/>
        <scheme val="minor"/>
      </rPr>
      <t>x+t:n-t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-</t>
    </r>
    <r>
      <rPr>
        <vertAlign val="subscript"/>
        <sz val="10"/>
        <rFont val="Calibri"/>
        <family val="2"/>
        <scheme val="minor"/>
      </rPr>
      <t>|</t>
    </r>
  </si>
  <si>
    <r>
      <t>adue</t>
    </r>
    <r>
      <rPr>
        <vertAlign val="subscript"/>
        <sz val="10"/>
        <rFont val="Calibri"/>
        <family val="2"/>
        <scheme val="minor"/>
      </rPr>
      <t>x+t:n-t</t>
    </r>
    <r>
      <rPr>
        <sz val="10"/>
        <rFont val="Calibri"/>
        <family val="2"/>
        <scheme val="minor"/>
      </rPr>
      <t>-</t>
    </r>
    <r>
      <rPr>
        <vertAlign val="subscript"/>
        <sz val="10"/>
        <rFont val="Calibri"/>
        <family val="2"/>
        <scheme val="minor"/>
      </rPr>
      <t>|</t>
    </r>
  </si>
  <si>
    <r>
      <t>adue</t>
    </r>
    <r>
      <rPr>
        <vertAlign val="subscript"/>
        <sz val="10"/>
        <rFont val="Calibri"/>
        <family val="2"/>
        <scheme val="minor"/>
      </rPr>
      <t>x+t:n-t</t>
    </r>
    <r>
      <rPr>
        <sz val="10"/>
        <rFont val="Calibri"/>
        <family val="2"/>
        <scheme val="minor"/>
      </rPr>
      <t>-</t>
    </r>
    <r>
      <rPr>
        <vertAlign val="subscript"/>
        <sz val="10"/>
        <rFont val="Calibri"/>
        <family val="2"/>
        <scheme val="minor"/>
      </rPr>
      <t xml:space="preserve">| </t>
    </r>
    <r>
      <rPr>
        <sz val="10"/>
        <rFont val="Calibri"/>
        <family val="2"/>
        <scheme val="minor"/>
      </rPr>
      <t>@inflation adjusted</t>
    </r>
  </si>
  <si>
    <t xml:space="preserve">EPV Premium </t>
  </si>
  <si>
    <t>EPV Expenses</t>
  </si>
  <si>
    <t>EPV Guaranteed benefits</t>
  </si>
  <si>
    <t>Terminal bonus</t>
  </si>
  <si>
    <t>IRR</t>
  </si>
  <si>
    <t>Disc rate</t>
  </si>
  <si>
    <t>Time</t>
  </si>
  <si>
    <t>Cash flow</t>
  </si>
  <si>
    <t>PV CF</t>
  </si>
  <si>
    <t>NPV CF</t>
  </si>
  <si>
    <t>Fixed Renewal Expenses per annum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</si>
</sst>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(* #,##0.00_);_(* \(#,##0.00\);_(* &quot;-&quot;??_);_(@_)"/>
    <numFmt numFmtId="165" formatCode="_(&quot;₹&quot;* #,##0.00_);_(&quot;₹&quot;* \(#,##0.00\);_(&quot;₹&quot;* &quot;-&quot;??_);_(@_)"/>
    <numFmt numFmtId="166" formatCode="0.0"/>
    <numFmt numFmtId="167" formatCode="_-[$£-809]* #,##0_-;\-[$£-809]* #,##0_-;_-[$£-809]* &quot;-&quot;??_-;_-@_-"/>
    <numFmt numFmtId="168" formatCode="_(* #,##0.0000000_);_(* \(#,##0.0000000\);_(* &quot;-&quot;??_);_(@_)"/>
    <numFmt numFmtId="169" formatCode="0.0000000"/>
    <numFmt numFmtId="170" formatCode="0.000%"/>
    <numFmt numFmtId="171" formatCode="&quot;₹&quot;#,##0.00"/>
    <numFmt numFmtId="172" formatCode="_ * #,##0_ ;_ * \-#,##0_ ;_ * &quot;-&quot;??_ ;_ @_ "/>
    <numFmt numFmtId="173" formatCode="_ * #,##0.0_ ;_ * \-#,##0.0_ ;_ * &quot;-&quot;??_ ;_ @_ "/>
    <numFmt numFmtId="174" formatCode="_ * #,##0.000000_ ;_ * \-#,##0.000000_ ;_ * &quot;-&quot;??_ ;_ @_ "/>
    <numFmt numFmtId="175" formatCode="0.000000"/>
    <numFmt numFmtId="176" formatCode="0.0000"/>
    <numFmt numFmtId="177" formatCode="#,##0;\(#,##0\);\-"/>
    <numFmt numFmtId="178" formatCode="#,##0.00000;\(#,##0.00000\);\-"/>
    <numFmt numFmtId="179" formatCode="#,##0.00;\(#,##0.00\);\-"/>
    <numFmt numFmtId="180" formatCode="#,##0.000000;\(#,##0.000000\);\-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5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4"/>
      <name val="Arial"/>
      <family val="2"/>
    </font>
    <font>
      <b/>
      <sz val="10"/>
      <color indexed="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ahoma"/>
      <family val="2"/>
    </font>
    <font>
      <vertAlign val="subscript"/>
      <sz val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name val="Arial"/>
      <family val="2"/>
    </font>
    <font>
      <vertAlign val="subscript"/>
      <sz val="8"/>
      <name val="Arial"/>
      <family val="2"/>
    </font>
    <font>
      <sz val="8"/>
      <name val="Arial"/>
      <family val="2"/>
    </font>
    <font>
      <vertAlign val="subscript"/>
      <sz val="8"/>
      <color theme="1"/>
      <name val="Tahoma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166" fontId="6" fillId="0" borderId="0" xfId="0" applyNumberFormat="1" applyFont="1"/>
    <xf numFmtId="17" fontId="6" fillId="0" borderId="0" xfId="0" applyNumberFormat="1" applyFont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/>
    <xf numFmtId="0" fontId="6" fillId="0" borderId="10" xfId="0" applyFont="1" applyBorder="1"/>
    <xf numFmtId="10" fontId="8" fillId="0" borderId="10" xfId="3" applyNumberFormat="1" applyFont="1" applyBorder="1"/>
    <xf numFmtId="166" fontId="6" fillId="0" borderId="12" xfId="0" applyNumberFormat="1" applyFont="1" applyBorder="1"/>
    <xf numFmtId="10" fontId="8" fillId="0" borderId="13" xfId="3" applyNumberFormat="1" applyFont="1" applyBorder="1"/>
    <xf numFmtId="10" fontId="6" fillId="0" borderId="0" xfId="3" applyNumberFormat="1" applyFont="1"/>
    <xf numFmtId="0" fontId="7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0" fillId="0" borderId="0" xfId="4" applyFont="1"/>
    <xf numFmtId="0" fontId="11" fillId="0" borderId="0" xfId="4" applyFont="1"/>
    <xf numFmtId="0" fontId="11" fillId="0" borderId="15" xfId="4" applyFont="1" applyBorder="1"/>
    <xf numFmtId="0" fontId="11" fillId="0" borderId="16" xfId="4" applyFont="1" applyBorder="1"/>
    <xf numFmtId="0" fontId="11" fillId="0" borderId="17" xfId="4" applyFont="1" applyBorder="1"/>
    <xf numFmtId="169" fontId="11" fillId="0" borderId="18" xfId="4" applyNumberFormat="1" applyFont="1" applyBorder="1"/>
    <xf numFmtId="0" fontId="11" fillId="0" borderId="19" xfId="4" applyFont="1" applyBorder="1"/>
    <xf numFmtId="169" fontId="11" fillId="0" borderId="20" xfId="4" applyNumberFormat="1" applyFont="1" applyBorder="1"/>
    <xf numFmtId="0" fontId="11" fillId="0" borderId="21" xfId="4" applyFont="1" applyBorder="1"/>
    <xf numFmtId="169" fontId="11" fillId="0" borderId="22" xfId="4" applyNumberFormat="1" applyFont="1" applyBorder="1"/>
    <xf numFmtId="172" fontId="0" fillId="0" borderId="0" xfId="5" applyNumberFormat="1" applyFont="1"/>
    <xf numFmtId="172" fontId="12" fillId="0" borderId="0" xfId="5" applyNumberFormat="1" applyFont="1"/>
    <xf numFmtId="173" fontId="12" fillId="0" borderId="0" xfId="5" applyNumberFormat="1" applyFont="1"/>
    <xf numFmtId="172" fontId="13" fillId="0" borderId="0" xfId="5" applyNumberFormat="1" applyFont="1" applyAlignment="1">
      <alignment wrapText="1"/>
    </xf>
    <xf numFmtId="172" fontId="0" fillId="0" borderId="0" xfId="5" applyNumberFormat="1" applyFont="1" applyAlignment="1">
      <alignment wrapText="1"/>
    </xf>
    <xf numFmtId="172" fontId="12" fillId="0" borderId="0" xfId="5" applyNumberFormat="1" applyFont="1" applyAlignment="1">
      <alignment wrapText="1"/>
    </xf>
    <xf numFmtId="0" fontId="2" fillId="0" borderId="0" xfId="4"/>
    <xf numFmtId="174" fontId="0" fillId="0" borderId="0" xfId="5" applyNumberFormat="1" applyFont="1"/>
    <xf numFmtId="168" fontId="0" fillId="0" borderId="0" xfId="5" applyNumberFormat="1" applyFont="1"/>
    <xf numFmtId="10" fontId="2" fillId="0" borderId="0" xfId="4" applyNumberFormat="1"/>
    <xf numFmtId="10" fontId="0" fillId="0" borderId="0" xfId="6" applyNumberFormat="1" applyFont="1"/>
    <xf numFmtId="172" fontId="0" fillId="3" borderId="0" xfId="5" applyNumberFormat="1" applyFont="1" applyFill="1"/>
    <xf numFmtId="172" fontId="0" fillId="0" borderId="0" xfId="5" applyNumberFormat="1" applyFont="1" applyFill="1"/>
    <xf numFmtId="172" fontId="14" fillId="0" borderId="0" xfId="5" applyNumberFormat="1" applyFont="1"/>
    <xf numFmtId="0" fontId="6" fillId="0" borderId="0" xfId="7" applyFont="1"/>
    <xf numFmtId="0" fontId="15" fillId="4" borderId="5" xfId="7" applyFont="1" applyFill="1" applyBorder="1"/>
    <xf numFmtId="0" fontId="6" fillId="0" borderId="5" xfId="7" applyFont="1" applyBorder="1"/>
    <xf numFmtId="0" fontId="6" fillId="0" borderId="5" xfId="7" applyFont="1" applyBorder="1" applyAlignment="1">
      <alignment wrapText="1"/>
    </xf>
    <xf numFmtId="0" fontId="6" fillId="0" borderId="5" xfId="7" applyFont="1" applyBorder="1" applyAlignment="1">
      <alignment horizontal="center" vertical="center" wrapText="1"/>
    </xf>
    <xf numFmtId="0" fontId="6" fillId="0" borderId="0" xfId="7" applyFont="1" applyAlignment="1">
      <alignment horizontal="left" vertical="center"/>
    </xf>
    <xf numFmtId="0" fontId="6" fillId="0" borderId="5" xfId="7" applyFont="1" applyBorder="1" applyAlignment="1">
      <alignment horizontal="left" vertical="center" wrapText="1"/>
    </xf>
    <xf numFmtId="0" fontId="6" fillId="0" borderId="5" xfId="7" applyFont="1" applyBorder="1" applyAlignment="1">
      <alignment horizontal="right" indent="1"/>
    </xf>
    <xf numFmtId="175" fontId="6" fillId="0" borderId="5" xfId="7" applyNumberFormat="1" applyFont="1" applyBorder="1" applyAlignment="1">
      <alignment horizontal="left" indent="1"/>
    </xf>
    <xf numFmtId="10" fontId="6" fillId="0" borderId="5" xfId="7" applyNumberFormat="1" applyFont="1" applyBorder="1"/>
    <xf numFmtId="0" fontId="6" fillId="0" borderId="5" xfId="7" applyFont="1" applyBorder="1" applyAlignment="1">
      <alignment horizontal="center"/>
    </xf>
    <xf numFmtId="2" fontId="6" fillId="0" borderId="5" xfId="7" applyNumberFormat="1" applyFont="1" applyBorder="1" applyAlignment="1">
      <alignment horizontal="right" indent="1"/>
    </xf>
    <xf numFmtId="176" fontId="6" fillId="0" borderId="0" xfId="7" applyNumberFormat="1" applyFont="1"/>
    <xf numFmtId="9" fontId="6" fillId="0" borderId="5" xfId="7" applyNumberFormat="1" applyFont="1" applyBorder="1"/>
    <xf numFmtId="9" fontId="6" fillId="0" borderId="5" xfId="7" applyNumberFormat="1" applyFont="1" applyBorder="1" applyAlignment="1">
      <alignment horizontal="center"/>
    </xf>
    <xf numFmtId="0" fontId="6" fillId="0" borderId="0" xfId="7" applyFont="1" applyAlignment="1">
      <alignment horizontal="right" indent="1"/>
    </xf>
    <xf numFmtId="2" fontId="6" fillId="0" borderId="0" xfId="7" applyNumberFormat="1" applyFont="1" applyAlignment="1">
      <alignment horizontal="right" indent="1"/>
    </xf>
    <xf numFmtId="10" fontId="6" fillId="0" borderId="0" xfId="7" applyNumberFormat="1" applyFont="1"/>
    <xf numFmtId="175" fontId="6" fillId="0" borderId="0" xfId="7" applyNumberFormat="1" applyFont="1"/>
    <xf numFmtId="0" fontId="1" fillId="0" borderId="0" xfId="7"/>
    <xf numFmtId="0" fontId="1" fillId="5" borderId="0" xfId="7" applyFill="1"/>
    <xf numFmtId="0" fontId="18" fillId="0" borderId="0" xfId="7" applyFont="1"/>
    <xf numFmtId="0" fontId="6" fillId="0" borderId="2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 wrapText="1"/>
    </xf>
    <xf numFmtId="0" fontId="6" fillId="2" borderId="5" xfId="7" applyFont="1" applyFill="1" applyBorder="1" applyAlignment="1">
      <alignment horizontal="center" vertical="center" wrapText="1"/>
    </xf>
    <xf numFmtId="0" fontId="12" fillId="0" borderId="0" xfId="7" applyFont="1"/>
    <xf numFmtId="177" fontId="6" fillId="0" borderId="5" xfId="7" applyNumberFormat="1" applyFont="1" applyBorder="1"/>
    <xf numFmtId="178" fontId="6" fillId="0" borderId="5" xfId="7" applyNumberFormat="1" applyFont="1" applyBorder="1"/>
    <xf numFmtId="179" fontId="7" fillId="0" borderId="5" xfId="7" applyNumberFormat="1" applyFont="1" applyBorder="1"/>
    <xf numFmtId="179" fontId="6" fillId="0" borderId="5" xfId="7" applyNumberFormat="1" applyFont="1" applyBorder="1"/>
    <xf numFmtId="10" fontId="7" fillId="0" borderId="5" xfId="8" applyNumberFormat="1" applyFont="1" applyBorder="1"/>
    <xf numFmtId="179" fontId="7" fillId="2" borderId="5" xfId="7" applyNumberFormat="1" applyFont="1" applyFill="1" applyBorder="1"/>
    <xf numFmtId="2" fontId="1" fillId="0" borderId="0" xfId="7" applyNumberFormat="1"/>
    <xf numFmtId="179" fontId="1" fillId="0" borderId="0" xfId="7" applyNumberFormat="1"/>
    <xf numFmtId="179" fontId="1" fillId="2" borderId="0" xfId="7" applyNumberFormat="1" applyFill="1"/>
    <xf numFmtId="0" fontId="25" fillId="0" borderId="0" xfId="7" applyFont="1"/>
    <xf numFmtId="0" fontId="7" fillId="0" borderId="5" xfId="7" applyFont="1" applyBorder="1"/>
    <xf numFmtId="177" fontId="7" fillId="0" borderId="5" xfId="7" applyNumberFormat="1" applyFont="1" applyBorder="1"/>
    <xf numFmtId="180" fontId="7" fillId="0" borderId="5" xfId="7" applyNumberFormat="1" applyFont="1" applyBorder="1"/>
    <xf numFmtId="0" fontId="1" fillId="2" borderId="5" xfId="7" applyFill="1" applyBorder="1"/>
    <xf numFmtId="2" fontId="1" fillId="2" borderId="0" xfId="7" applyNumberFormat="1" applyFill="1"/>
    <xf numFmtId="0" fontId="1" fillId="0" borderId="5" xfId="7" applyBorder="1"/>
    <xf numFmtId="0" fontId="13" fillId="0" borderId="0" xfId="7" applyFont="1"/>
    <xf numFmtId="10" fontId="1" fillId="2" borderId="0" xfId="7" applyNumberFormat="1" applyFill="1"/>
    <xf numFmtId="0" fontId="28" fillId="0" borderId="0" xfId="7" applyFont="1"/>
    <xf numFmtId="0" fontId="3" fillId="0" borderId="0" xfId="7" applyFont="1"/>
    <xf numFmtId="0" fontId="15" fillId="4" borderId="1" xfId="7" applyFont="1" applyFill="1" applyBorder="1" applyAlignment="1">
      <alignment horizontal="center" vertical="center"/>
    </xf>
    <xf numFmtId="0" fontId="15" fillId="4" borderId="6" xfId="7" applyFont="1" applyFill="1" applyBorder="1" applyAlignment="1">
      <alignment horizontal="center" vertical="center"/>
    </xf>
    <xf numFmtId="0" fontId="6" fillId="0" borderId="1" xfId="7" applyFont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15" fillId="4" borderId="1" xfId="7" applyFont="1" applyFill="1" applyBorder="1" applyAlignment="1">
      <alignment horizontal="center" vertical="center" wrapText="1"/>
    </xf>
    <xf numFmtId="0" fontId="15" fillId="4" borderId="6" xfId="7" applyFont="1" applyFill="1" applyBorder="1" applyAlignment="1">
      <alignment horizontal="center" vertical="center" wrapText="1"/>
    </xf>
    <xf numFmtId="0" fontId="16" fillId="4" borderId="5" xfId="7" applyFont="1" applyFill="1" applyBorder="1" applyAlignment="1">
      <alignment horizontal="center" vertical="center"/>
    </xf>
    <xf numFmtId="0" fontId="16" fillId="4" borderId="5" xfId="7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/>
    </xf>
    <xf numFmtId="17" fontId="11" fillId="0" borderId="5" xfId="0" applyNumberFormat="1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left" vertical="center" indent="2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171" fontId="11" fillId="0" borderId="10" xfId="2" applyNumberFormat="1" applyFont="1" applyFill="1" applyBorder="1"/>
    <xf numFmtId="167" fontId="6" fillId="0" borderId="0" xfId="2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0" fontId="6" fillId="0" borderId="0" xfId="0" applyNumberFormat="1" applyFont="1" applyFill="1"/>
    <xf numFmtId="0" fontId="6" fillId="0" borderId="7" xfId="0" applyFont="1" applyFill="1" applyBorder="1"/>
    <xf numFmtId="17" fontId="7" fillId="0" borderId="7" xfId="0" applyNumberFormat="1" applyFont="1" applyFill="1" applyBorder="1"/>
    <xf numFmtId="0" fontId="8" fillId="0" borderId="2" xfId="0" applyFont="1" applyFill="1" applyBorder="1"/>
    <xf numFmtId="0" fontId="6" fillId="0" borderId="8" xfId="0" applyFont="1" applyFill="1" applyBorder="1"/>
    <xf numFmtId="0" fontId="6" fillId="0" borderId="14" xfId="0" applyFont="1" applyFill="1" applyBorder="1"/>
    <xf numFmtId="0" fontId="6" fillId="0" borderId="2" xfId="0" applyFont="1" applyFill="1" applyBorder="1"/>
    <xf numFmtId="9" fontId="6" fillId="0" borderId="0" xfId="0" applyNumberFormat="1" applyFont="1" applyFill="1"/>
    <xf numFmtId="0" fontId="6" fillId="0" borderId="9" xfId="0" applyFont="1" applyFill="1" applyBorder="1"/>
    <xf numFmtId="17" fontId="7" fillId="0" borderId="9" xfId="0" applyNumberFormat="1" applyFont="1" applyFill="1" applyBorder="1"/>
    <xf numFmtId="0" fontId="8" fillId="0" borderId="3" xfId="0" applyFont="1" applyFill="1" applyBorder="1"/>
    <xf numFmtId="168" fontId="8" fillId="0" borderId="10" xfId="1" applyNumberFormat="1" applyFont="1" applyFill="1" applyBorder="1"/>
    <xf numFmtId="171" fontId="8" fillId="0" borderId="10" xfId="2" applyNumberFormat="1" applyFont="1" applyFill="1" applyBorder="1"/>
    <xf numFmtId="169" fontId="8" fillId="0" borderId="3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/>
    <xf numFmtId="17" fontId="6" fillId="0" borderId="9" xfId="0" applyNumberFormat="1" applyFont="1" applyFill="1" applyBorder="1"/>
    <xf numFmtId="17" fontId="6" fillId="0" borderId="7" xfId="0" applyNumberFormat="1" applyFont="1" applyFill="1" applyBorder="1"/>
    <xf numFmtId="166" fontId="6" fillId="0" borderId="8" xfId="0" applyNumberFormat="1" applyFont="1" applyFill="1" applyBorder="1"/>
    <xf numFmtId="166" fontId="6" fillId="0" borderId="0" xfId="0" applyNumberFormat="1" applyFont="1" applyFill="1"/>
    <xf numFmtId="0" fontId="6" fillId="0" borderId="11" xfId="0" applyFont="1" applyFill="1" applyBorder="1"/>
    <xf numFmtId="0" fontId="8" fillId="0" borderId="4" xfId="0" applyFont="1" applyFill="1" applyBorder="1"/>
    <xf numFmtId="168" fontId="8" fillId="0" borderId="13" xfId="1" applyNumberFormat="1" applyFont="1" applyFill="1" applyBorder="1"/>
    <xf numFmtId="171" fontId="8" fillId="0" borderId="13" xfId="2" applyNumberFormat="1" applyFont="1" applyFill="1" applyBorder="1"/>
    <xf numFmtId="169" fontId="8" fillId="0" borderId="4" xfId="0" applyNumberFormat="1" applyFont="1" applyFill="1" applyBorder="1"/>
    <xf numFmtId="170" fontId="8" fillId="0" borderId="0" xfId="0" applyNumberFormat="1" applyFont="1" applyFill="1"/>
    <xf numFmtId="0" fontId="9" fillId="0" borderId="0" xfId="0" applyFont="1" applyFill="1" applyAlignment="1">
      <alignment horizontal="right"/>
    </xf>
    <xf numFmtId="170" fontId="6" fillId="0" borderId="0" xfId="0" applyNumberFormat="1" applyFont="1" applyFill="1"/>
    <xf numFmtId="0" fontId="12" fillId="0" borderId="0" xfId="7" applyFont="1" applyBorder="1"/>
    <xf numFmtId="0" fontId="27" fillId="0" borderId="0" xfId="7" applyFont="1" applyBorder="1" applyAlignment="1">
      <alignment horizontal="center" vertical="center" wrapText="1"/>
    </xf>
    <xf numFmtId="0" fontId="1" fillId="0" borderId="0" xfId="7" applyBorder="1"/>
  </cellXfs>
  <cellStyles count="9">
    <cellStyle name="Comma" xfId="1" builtinId="3"/>
    <cellStyle name="Comma 2" xfId="5" xr:uid="{00000000-0005-0000-0000-000001000000}"/>
    <cellStyle name="Currency" xfId="2" builtinId="4"/>
    <cellStyle name="Normal" xfId="0" builtinId="0"/>
    <cellStyle name="Normal 2" xfId="4" xr:uid="{00000000-0005-0000-0000-000004000000}"/>
    <cellStyle name="Normal 3" xfId="7" xr:uid="{00000000-0005-0000-0000-000005000000}"/>
    <cellStyle name="Percent" xfId="3" builtinId="5"/>
    <cellStyle name="Percent 2" xfId="6" xr:uid="{00000000-0005-0000-0000-000007000000}"/>
    <cellStyle name="Percent 3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CM1A/reserve_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4"/>
      <sheetName val="Sheet5"/>
      <sheetName val="Sheet3"/>
    </sheetNames>
    <sheetDataSet>
      <sheetData sheetId="0">
        <row r="16">
          <cell r="F16">
            <v>0.93457943925233644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20"/>
  <sheetViews>
    <sheetView tabSelected="1" zoomScaleNormal="100" workbookViewId="0"/>
  </sheetViews>
  <sheetFormatPr defaultColWidth="11.1640625" defaultRowHeight="15.5" x14ac:dyDescent="0.35"/>
  <cols>
    <col min="1" max="1" width="11.1640625" style="3" bestFit="1" customWidth="1"/>
    <col min="2" max="2" width="9" style="3" bestFit="1" customWidth="1"/>
    <col min="3" max="3" width="8.83203125" style="3" bestFit="1" customWidth="1"/>
  </cols>
  <sheetData>
    <row r="2" spans="1:3" ht="19" x14ac:dyDescent="0.35">
      <c r="A2" s="1" t="s">
        <v>26</v>
      </c>
      <c r="B2" s="2"/>
      <c r="C2" s="2"/>
    </row>
    <row r="4" spans="1:3" x14ac:dyDescent="0.35">
      <c r="B4" s="95" t="s">
        <v>0</v>
      </c>
      <c r="C4" s="95" t="s">
        <v>1</v>
      </c>
    </row>
    <row r="5" spans="1:3" x14ac:dyDescent="0.35">
      <c r="B5" s="97">
        <v>44562</v>
      </c>
      <c r="C5" s="96">
        <v>173.3</v>
      </c>
    </row>
    <row r="6" spans="1:3" x14ac:dyDescent="0.35">
      <c r="B6" s="97">
        <v>44593</v>
      </c>
      <c r="C6" s="96">
        <v>173.8</v>
      </c>
    </row>
    <row r="7" spans="1:3" x14ac:dyDescent="0.35">
      <c r="B7" s="97">
        <v>44621</v>
      </c>
      <c r="C7" s="96">
        <v>174.5</v>
      </c>
    </row>
    <row r="8" spans="1:3" x14ac:dyDescent="0.35">
      <c r="B8" s="97">
        <v>44652</v>
      </c>
      <c r="C8" s="96">
        <v>175.7</v>
      </c>
    </row>
    <row r="9" spans="1:3" x14ac:dyDescent="0.35">
      <c r="B9" s="97">
        <v>44682</v>
      </c>
      <c r="C9" s="96">
        <v>176.2</v>
      </c>
    </row>
    <row r="10" spans="1:3" x14ac:dyDescent="0.35">
      <c r="B10" s="97">
        <v>44713</v>
      </c>
      <c r="C10" s="96">
        <v>176.2</v>
      </c>
    </row>
    <row r="11" spans="1:3" x14ac:dyDescent="0.35">
      <c r="B11" s="97">
        <v>44743</v>
      </c>
      <c r="C11" s="96">
        <v>175.9</v>
      </c>
    </row>
    <row r="12" spans="1:3" x14ac:dyDescent="0.35">
      <c r="B12" s="97">
        <v>44774</v>
      </c>
      <c r="C12" s="96">
        <v>176.4</v>
      </c>
    </row>
    <row r="13" spans="1:3" x14ac:dyDescent="0.35">
      <c r="B13" s="97">
        <v>44805</v>
      </c>
      <c r="C13" s="96">
        <v>177.6</v>
      </c>
    </row>
    <row r="14" spans="1:3" x14ac:dyDescent="0.35">
      <c r="B14" s="97">
        <v>44835</v>
      </c>
      <c r="C14" s="96">
        <v>177.9</v>
      </c>
    </row>
    <row r="15" spans="1:3" x14ac:dyDescent="0.35">
      <c r="B15" s="97">
        <v>44866</v>
      </c>
      <c r="C15" s="96">
        <v>178.2</v>
      </c>
    </row>
    <row r="16" spans="1:3" x14ac:dyDescent="0.35">
      <c r="B16" s="97">
        <v>44896</v>
      </c>
      <c r="C16" s="96">
        <v>178.5</v>
      </c>
    </row>
    <row r="17" spans="2:3" x14ac:dyDescent="0.35">
      <c r="B17" s="97">
        <v>44927</v>
      </c>
      <c r="C17" s="96">
        <v>178.4</v>
      </c>
    </row>
    <row r="18" spans="2:3" x14ac:dyDescent="0.35">
      <c r="B18" s="97">
        <v>44958</v>
      </c>
      <c r="C18" s="96">
        <v>179.3</v>
      </c>
    </row>
    <row r="19" spans="2:3" x14ac:dyDescent="0.35">
      <c r="B19" s="97">
        <v>44986</v>
      </c>
      <c r="C19" s="96">
        <v>179.9</v>
      </c>
    </row>
    <row r="20" spans="2:3" x14ac:dyDescent="0.35">
      <c r="B20" s="97">
        <v>45017</v>
      </c>
      <c r="C20" s="96">
        <v>181.2</v>
      </c>
    </row>
    <row r="21" spans="2:3" x14ac:dyDescent="0.35">
      <c r="B21" s="97">
        <v>45047</v>
      </c>
      <c r="C21" s="96">
        <v>181.5</v>
      </c>
    </row>
    <row r="22" spans="2:3" x14ac:dyDescent="0.35">
      <c r="B22" s="97">
        <v>45078</v>
      </c>
      <c r="C22" s="96">
        <v>181.3</v>
      </c>
    </row>
    <row r="23" spans="2:3" x14ac:dyDescent="0.35">
      <c r="B23" s="97">
        <v>45108</v>
      </c>
      <c r="C23" s="96">
        <v>181.3</v>
      </c>
    </row>
    <row r="24" spans="2:3" x14ac:dyDescent="0.35">
      <c r="B24" s="97">
        <v>45139</v>
      </c>
      <c r="C24" s="96">
        <v>181.6</v>
      </c>
    </row>
    <row r="25" spans="2:3" x14ac:dyDescent="0.35">
      <c r="B25" s="97">
        <v>45170</v>
      </c>
      <c r="C25" s="96">
        <v>182.5</v>
      </c>
    </row>
    <row r="26" spans="2:3" x14ac:dyDescent="0.35">
      <c r="B26" s="97">
        <v>45200</v>
      </c>
      <c r="C26" s="96">
        <v>182.6</v>
      </c>
    </row>
    <row r="27" spans="2:3" x14ac:dyDescent="0.35">
      <c r="B27" s="97">
        <v>45231</v>
      </c>
      <c r="C27" s="96">
        <v>182.7</v>
      </c>
    </row>
    <row r="28" spans="2:3" x14ac:dyDescent="0.35">
      <c r="B28" s="97">
        <v>45261</v>
      </c>
      <c r="C28" s="96">
        <v>183.5</v>
      </c>
    </row>
    <row r="29" spans="2:3" x14ac:dyDescent="0.35">
      <c r="B29" s="97">
        <v>45292</v>
      </c>
      <c r="C29" s="96">
        <v>183.1</v>
      </c>
    </row>
    <row r="30" spans="2:3" x14ac:dyDescent="0.35">
      <c r="B30" s="97">
        <v>45323</v>
      </c>
      <c r="C30" s="96">
        <v>183.8</v>
      </c>
    </row>
    <row r="31" spans="2:3" x14ac:dyDescent="0.35">
      <c r="B31" s="97">
        <v>45352</v>
      </c>
      <c r="C31" s="96">
        <v>184.6</v>
      </c>
    </row>
    <row r="32" spans="2:3" x14ac:dyDescent="0.35">
      <c r="B32" s="97">
        <v>45383</v>
      </c>
      <c r="C32" s="96">
        <v>185.7</v>
      </c>
    </row>
    <row r="33" spans="2:3" x14ac:dyDescent="0.35">
      <c r="B33" s="97">
        <v>45413</v>
      </c>
      <c r="C33" s="96">
        <v>186.5</v>
      </c>
    </row>
    <row r="34" spans="2:3" x14ac:dyDescent="0.35">
      <c r="B34" s="97">
        <v>45444</v>
      </c>
      <c r="C34" s="96">
        <v>186.8</v>
      </c>
    </row>
    <row r="35" spans="2:3" x14ac:dyDescent="0.35">
      <c r="B35" s="97">
        <v>45474</v>
      </c>
      <c r="C35" s="96">
        <v>186.8</v>
      </c>
    </row>
    <row r="36" spans="2:3" x14ac:dyDescent="0.35">
      <c r="B36" s="97">
        <v>45505</v>
      </c>
      <c r="C36" s="96">
        <v>187.4</v>
      </c>
    </row>
    <row r="37" spans="2:3" x14ac:dyDescent="0.35">
      <c r="B37" s="97">
        <v>45536</v>
      </c>
      <c r="C37" s="96">
        <v>188.1</v>
      </c>
    </row>
    <row r="38" spans="2:3" x14ac:dyDescent="0.35">
      <c r="B38" s="97">
        <v>45566</v>
      </c>
      <c r="C38" s="96">
        <v>188.6</v>
      </c>
    </row>
    <row r="39" spans="2:3" x14ac:dyDescent="0.35">
      <c r="B39" s="97">
        <v>45597</v>
      </c>
      <c r="C39" s="96">
        <v>189</v>
      </c>
    </row>
    <row r="40" spans="2:3" x14ac:dyDescent="0.35">
      <c r="B40" s="97">
        <v>45627</v>
      </c>
      <c r="C40" s="96">
        <v>189.9</v>
      </c>
    </row>
    <row r="41" spans="2:3" x14ac:dyDescent="0.35">
      <c r="B41" s="97">
        <v>45658</v>
      </c>
      <c r="C41" s="96">
        <v>188.9</v>
      </c>
    </row>
    <row r="42" spans="2:3" x14ac:dyDescent="0.35">
      <c r="B42" s="97">
        <v>45689</v>
      </c>
      <c r="C42" s="96">
        <v>189.6</v>
      </c>
    </row>
    <row r="43" spans="2:3" x14ac:dyDescent="0.35">
      <c r="B43" s="97">
        <v>45717</v>
      </c>
      <c r="C43" s="96">
        <v>190.5</v>
      </c>
    </row>
    <row r="44" spans="2:3" x14ac:dyDescent="0.35">
      <c r="B44" s="97">
        <v>45748</v>
      </c>
      <c r="C44" s="96">
        <v>191.6</v>
      </c>
    </row>
    <row r="45" spans="2:3" x14ac:dyDescent="0.35">
      <c r="B45" s="97">
        <v>45778</v>
      </c>
      <c r="C45" s="96">
        <v>192</v>
      </c>
    </row>
    <row r="46" spans="2:3" x14ac:dyDescent="0.35">
      <c r="B46" s="97">
        <v>45809</v>
      </c>
      <c r="C46" s="96">
        <v>192.2</v>
      </c>
    </row>
    <row r="47" spans="2:3" x14ac:dyDescent="0.35">
      <c r="B47" s="97">
        <v>45839</v>
      </c>
      <c r="C47" s="96">
        <v>192.2</v>
      </c>
    </row>
    <row r="48" spans="2:3" x14ac:dyDescent="0.35">
      <c r="B48" s="97">
        <v>45870</v>
      </c>
      <c r="C48" s="96">
        <v>192.6</v>
      </c>
    </row>
    <row r="49" spans="2:3" x14ac:dyDescent="0.35">
      <c r="B49" s="97">
        <v>45901</v>
      </c>
      <c r="C49" s="96">
        <v>193.1</v>
      </c>
    </row>
    <row r="50" spans="2:3" x14ac:dyDescent="0.35">
      <c r="B50" s="97">
        <v>45931</v>
      </c>
      <c r="C50" s="96">
        <v>193.3</v>
      </c>
    </row>
    <row r="51" spans="2:3" x14ac:dyDescent="0.35">
      <c r="B51" s="97">
        <v>45962</v>
      </c>
      <c r="C51" s="96">
        <v>193.6</v>
      </c>
    </row>
    <row r="52" spans="2:3" x14ac:dyDescent="0.35">
      <c r="B52" s="97">
        <v>45992</v>
      </c>
      <c r="C52" s="96">
        <v>194.1</v>
      </c>
    </row>
    <row r="53" spans="2:3" x14ac:dyDescent="0.35">
      <c r="B53" s="97">
        <v>46023</v>
      </c>
      <c r="C53" s="96">
        <v>193.4</v>
      </c>
    </row>
    <row r="54" spans="2:3" x14ac:dyDescent="0.35">
      <c r="B54" s="97">
        <v>46054</v>
      </c>
      <c r="C54" s="96">
        <v>194.2</v>
      </c>
    </row>
    <row r="55" spans="2:3" x14ac:dyDescent="0.35">
      <c r="B55" s="97">
        <v>46082</v>
      </c>
      <c r="C55" s="96">
        <v>195</v>
      </c>
    </row>
    <row r="56" spans="2:3" x14ac:dyDescent="0.35">
      <c r="B56" s="97">
        <v>46113</v>
      </c>
      <c r="C56" s="96">
        <v>196.5</v>
      </c>
    </row>
    <row r="57" spans="2:3" x14ac:dyDescent="0.35">
      <c r="B57" s="97">
        <v>46143</v>
      </c>
      <c r="C57" s="96">
        <v>197.7</v>
      </c>
    </row>
    <row r="58" spans="2:3" x14ac:dyDescent="0.35">
      <c r="B58" s="97">
        <v>46174</v>
      </c>
      <c r="C58" s="96">
        <v>198.5</v>
      </c>
    </row>
    <row r="59" spans="2:3" x14ac:dyDescent="0.35">
      <c r="B59" s="97">
        <v>46204</v>
      </c>
      <c r="C59" s="96">
        <v>198.5</v>
      </c>
    </row>
    <row r="60" spans="2:3" x14ac:dyDescent="0.35">
      <c r="B60" s="97">
        <v>46235</v>
      </c>
      <c r="C60" s="96">
        <v>199.2</v>
      </c>
    </row>
    <row r="61" spans="2:3" x14ac:dyDescent="0.35">
      <c r="B61" s="97">
        <v>46266</v>
      </c>
      <c r="C61" s="96">
        <v>200.1</v>
      </c>
    </row>
    <row r="62" spans="2:3" x14ac:dyDescent="0.35">
      <c r="B62" s="97">
        <v>46296</v>
      </c>
      <c r="C62" s="96">
        <v>200.4</v>
      </c>
    </row>
    <row r="63" spans="2:3" x14ac:dyDescent="0.35">
      <c r="B63" s="97">
        <v>46327</v>
      </c>
      <c r="C63" s="96">
        <v>201.1</v>
      </c>
    </row>
    <row r="64" spans="2:3" x14ac:dyDescent="0.35">
      <c r="B64" s="97">
        <v>46357</v>
      </c>
      <c r="C64" s="96">
        <v>202.7</v>
      </c>
    </row>
    <row r="65" spans="2:3" x14ac:dyDescent="0.35">
      <c r="B65" s="97">
        <v>46388</v>
      </c>
      <c r="C65" s="96">
        <v>201.6</v>
      </c>
    </row>
    <row r="66" spans="2:3" x14ac:dyDescent="0.35">
      <c r="B66" s="97">
        <v>46419</v>
      </c>
      <c r="C66" s="96">
        <v>203.1</v>
      </c>
    </row>
    <row r="67" spans="2:3" x14ac:dyDescent="0.35">
      <c r="B67" s="97">
        <v>46447</v>
      </c>
      <c r="C67" s="96">
        <v>204.4</v>
      </c>
    </row>
    <row r="68" spans="2:3" x14ac:dyDescent="0.35">
      <c r="B68" s="97">
        <v>46478</v>
      </c>
      <c r="C68" s="96">
        <v>205.4</v>
      </c>
    </row>
    <row r="69" spans="2:3" x14ac:dyDescent="0.35">
      <c r="B69" s="97">
        <v>46508</v>
      </c>
      <c r="C69" s="96">
        <v>206.2</v>
      </c>
    </row>
    <row r="70" spans="2:3" x14ac:dyDescent="0.35">
      <c r="B70" s="97">
        <v>46539</v>
      </c>
      <c r="C70" s="96">
        <v>207.3</v>
      </c>
    </row>
    <row r="71" spans="2:3" x14ac:dyDescent="0.35">
      <c r="B71" s="97">
        <v>46569</v>
      </c>
      <c r="C71" s="96">
        <v>206.1</v>
      </c>
    </row>
    <row r="72" spans="2:3" x14ac:dyDescent="0.35">
      <c r="B72" s="97">
        <v>46600</v>
      </c>
      <c r="C72" s="96">
        <v>207.3</v>
      </c>
    </row>
    <row r="73" spans="2:3" x14ac:dyDescent="0.35">
      <c r="B73" s="97">
        <v>46631</v>
      </c>
      <c r="C73" s="96">
        <v>208</v>
      </c>
    </row>
    <row r="74" spans="2:3" x14ac:dyDescent="0.35">
      <c r="B74" s="97">
        <v>46661</v>
      </c>
      <c r="C74" s="96">
        <v>208.9</v>
      </c>
    </row>
    <row r="75" spans="2:3" x14ac:dyDescent="0.35">
      <c r="B75" s="97">
        <v>46692</v>
      </c>
      <c r="C75" s="96">
        <v>209.7</v>
      </c>
    </row>
    <row r="76" spans="2:3" x14ac:dyDescent="0.35">
      <c r="B76" s="97">
        <v>46722</v>
      </c>
      <c r="C76" s="96">
        <v>210.9</v>
      </c>
    </row>
    <row r="77" spans="2:3" x14ac:dyDescent="0.35">
      <c r="B77" s="97">
        <v>46753</v>
      </c>
      <c r="C77" s="96">
        <v>209.8</v>
      </c>
    </row>
    <row r="78" spans="2:3" x14ac:dyDescent="0.35">
      <c r="B78" s="97">
        <v>46784</v>
      </c>
      <c r="C78" s="96">
        <v>211.4</v>
      </c>
    </row>
    <row r="79" spans="2:3" x14ac:dyDescent="0.35">
      <c r="B79" s="97">
        <v>46813</v>
      </c>
      <c r="C79" s="96">
        <v>212.1</v>
      </c>
    </row>
    <row r="80" spans="2:3" x14ac:dyDescent="0.35">
      <c r="B80" s="97">
        <v>46844</v>
      </c>
      <c r="C80" s="96">
        <v>214</v>
      </c>
    </row>
    <row r="81" spans="2:3" x14ac:dyDescent="0.35">
      <c r="B81" s="97">
        <v>46874</v>
      </c>
      <c r="C81" s="96">
        <v>215.1</v>
      </c>
    </row>
    <row r="82" spans="2:3" x14ac:dyDescent="0.35">
      <c r="B82" s="97">
        <v>46905</v>
      </c>
      <c r="C82" s="96">
        <v>216.8</v>
      </c>
    </row>
    <row r="83" spans="2:3" x14ac:dyDescent="0.35">
      <c r="B83" s="97">
        <v>46935</v>
      </c>
      <c r="C83" s="96">
        <v>216.5</v>
      </c>
    </row>
    <row r="84" spans="2:3" x14ac:dyDescent="0.35">
      <c r="B84" s="97">
        <v>46966</v>
      </c>
      <c r="C84" s="96">
        <v>217.2</v>
      </c>
    </row>
    <row r="85" spans="2:3" x14ac:dyDescent="0.35">
      <c r="B85" s="97">
        <v>46997</v>
      </c>
      <c r="C85" s="96">
        <v>218.4</v>
      </c>
    </row>
    <row r="86" spans="2:3" x14ac:dyDescent="0.35">
      <c r="B86" s="97">
        <v>47027</v>
      </c>
      <c r="C86" s="96">
        <v>217.7</v>
      </c>
    </row>
    <row r="87" spans="2:3" x14ac:dyDescent="0.35">
      <c r="B87" s="97">
        <v>47058</v>
      </c>
      <c r="C87" s="96">
        <v>216</v>
      </c>
    </row>
    <row r="88" spans="2:3" x14ac:dyDescent="0.35">
      <c r="B88" s="97">
        <v>47088</v>
      </c>
      <c r="C88" s="96">
        <v>212.9</v>
      </c>
    </row>
    <row r="89" spans="2:3" x14ac:dyDescent="0.35">
      <c r="B89" s="97">
        <v>47119</v>
      </c>
      <c r="C89" s="96">
        <v>210.1</v>
      </c>
    </row>
    <row r="90" spans="2:3" x14ac:dyDescent="0.35">
      <c r="B90" s="97">
        <v>47150</v>
      </c>
      <c r="C90" s="96">
        <v>211.4</v>
      </c>
    </row>
    <row r="91" spans="2:3" x14ac:dyDescent="0.35">
      <c r="B91" s="97">
        <v>47178</v>
      </c>
      <c r="C91" s="96">
        <v>211.3</v>
      </c>
    </row>
    <row r="92" spans="2:3" x14ac:dyDescent="0.35">
      <c r="B92" s="97">
        <v>47209</v>
      </c>
      <c r="C92" s="96">
        <v>211.5</v>
      </c>
    </row>
    <row r="93" spans="2:3" x14ac:dyDescent="0.35">
      <c r="B93" s="97">
        <v>47239</v>
      </c>
      <c r="C93" s="96">
        <v>212.8</v>
      </c>
    </row>
    <row r="94" spans="2:3" x14ac:dyDescent="0.35">
      <c r="B94" s="97">
        <v>47270</v>
      </c>
      <c r="C94" s="96">
        <v>213.4</v>
      </c>
    </row>
    <row r="95" spans="2:3" x14ac:dyDescent="0.35">
      <c r="B95" s="97">
        <v>47300</v>
      </c>
      <c r="C95" s="96">
        <v>213.4</v>
      </c>
    </row>
    <row r="96" spans="2:3" x14ac:dyDescent="0.35">
      <c r="B96" s="97">
        <v>47331</v>
      </c>
      <c r="C96" s="96">
        <v>214.4</v>
      </c>
    </row>
    <row r="97" spans="2:3" x14ac:dyDescent="0.35">
      <c r="B97" s="97">
        <v>47362</v>
      </c>
      <c r="C97" s="96">
        <v>215.3</v>
      </c>
    </row>
    <row r="98" spans="2:3" x14ac:dyDescent="0.35">
      <c r="B98" s="97">
        <v>47392</v>
      </c>
      <c r="C98" s="96">
        <v>216</v>
      </c>
    </row>
    <row r="99" spans="2:3" x14ac:dyDescent="0.35">
      <c r="B99" s="97">
        <v>47423</v>
      </c>
      <c r="C99" s="96">
        <v>216.6</v>
      </c>
    </row>
    <row r="100" spans="2:3" x14ac:dyDescent="0.35">
      <c r="B100" s="97">
        <v>47453</v>
      </c>
      <c r="C100" s="96">
        <v>218</v>
      </c>
    </row>
    <row r="101" spans="2:3" x14ac:dyDescent="0.35">
      <c r="B101" s="97">
        <v>47484</v>
      </c>
      <c r="C101" s="96">
        <v>217.9</v>
      </c>
    </row>
    <row r="102" spans="2:3" x14ac:dyDescent="0.35">
      <c r="B102" s="97">
        <v>47515</v>
      </c>
      <c r="C102" s="96">
        <v>219.2</v>
      </c>
    </row>
    <row r="103" spans="2:3" x14ac:dyDescent="0.35">
      <c r="B103" s="97">
        <v>47543</v>
      </c>
      <c r="C103" s="96">
        <v>220.7</v>
      </c>
    </row>
    <row r="104" spans="2:3" x14ac:dyDescent="0.35">
      <c r="B104" s="97">
        <v>47574</v>
      </c>
      <c r="C104" s="96">
        <v>222.8</v>
      </c>
    </row>
    <row r="105" spans="2:3" x14ac:dyDescent="0.35">
      <c r="B105" s="97">
        <v>47604</v>
      </c>
      <c r="C105" s="96">
        <v>223.6</v>
      </c>
    </row>
    <row r="106" spans="2:3" x14ac:dyDescent="0.35">
      <c r="B106" s="97">
        <v>47635</v>
      </c>
      <c r="C106" s="96">
        <v>224.1</v>
      </c>
    </row>
    <row r="107" spans="2:3" x14ac:dyDescent="0.35">
      <c r="B107" s="97">
        <v>47665</v>
      </c>
      <c r="C107" s="96">
        <v>223.6</v>
      </c>
    </row>
    <row r="108" spans="2:3" x14ac:dyDescent="0.35">
      <c r="B108" s="97">
        <v>47696</v>
      </c>
      <c r="C108" s="96">
        <v>224.5</v>
      </c>
    </row>
    <row r="109" spans="2:3" x14ac:dyDescent="0.35">
      <c r="B109" s="97">
        <v>47727</v>
      </c>
      <c r="C109" s="96">
        <v>225.3</v>
      </c>
    </row>
    <row r="110" spans="2:3" x14ac:dyDescent="0.35">
      <c r="B110" s="97">
        <v>47757</v>
      </c>
      <c r="C110" s="96">
        <v>225.8</v>
      </c>
    </row>
    <row r="111" spans="2:3" x14ac:dyDescent="0.35">
      <c r="B111" s="97">
        <v>47788</v>
      </c>
      <c r="C111" s="96">
        <v>226.8</v>
      </c>
    </row>
    <row r="112" spans="2:3" x14ac:dyDescent="0.35">
      <c r="B112" s="97">
        <v>47818</v>
      </c>
      <c r="C112" s="96">
        <v>228.4</v>
      </c>
    </row>
    <row r="113" spans="2:3" x14ac:dyDescent="0.35">
      <c r="B113" s="97">
        <v>47849</v>
      </c>
      <c r="C113" s="96">
        <v>229</v>
      </c>
    </row>
    <row r="114" spans="2:3" x14ac:dyDescent="0.35">
      <c r="B114" s="97">
        <v>47880</v>
      </c>
      <c r="C114" s="96">
        <v>231.3</v>
      </c>
    </row>
    <row r="115" spans="2:3" x14ac:dyDescent="0.35">
      <c r="B115" s="97">
        <v>47908</v>
      </c>
      <c r="C115" s="96">
        <v>232.5</v>
      </c>
    </row>
    <row r="116" spans="2:3" x14ac:dyDescent="0.35">
      <c r="B116" s="97">
        <v>47939</v>
      </c>
      <c r="C116" s="96">
        <v>234.4</v>
      </c>
    </row>
    <row r="117" spans="2:3" x14ac:dyDescent="0.35">
      <c r="B117" s="97">
        <v>47969</v>
      </c>
      <c r="C117" s="96">
        <v>235.2</v>
      </c>
    </row>
    <row r="118" spans="2:3" x14ac:dyDescent="0.35">
      <c r="B118" s="97">
        <v>48000</v>
      </c>
      <c r="C118" s="96">
        <v>235.2</v>
      </c>
    </row>
    <row r="119" spans="2:3" x14ac:dyDescent="0.35">
      <c r="B119" s="97">
        <v>48030</v>
      </c>
      <c r="C119" s="96">
        <v>234.7</v>
      </c>
    </row>
    <row r="120" spans="2:3" x14ac:dyDescent="0.35">
      <c r="B120" s="97">
        <v>48061</v>
      </c>
      <c r="C120" s="96">
        <v>236.1</v>
      </c>
    </row>
    <row r="121" spans="2:3" x14ac:dyDescent="0.35">
      <c r="B121" s="97">
        <v>48092</v>
      </c>
      <c r="C121" s="96">
        <v>237.9</v>
      </c>
    </row>
    <row r="122" spans="2:3" x14ac:dyDescent="0.35">
      <c r="B122" s="97">
        <v>48122</v>
      </c>
      <c r="C122" s="96">
        <v>238</v>
      </c>
    </row>
    <row r="123" spans="2:3" x14ac:dyDescent="0.35">
      <c r="B123" s="97">
        <v>48153</v>
      </c>
      <c r="C123" s="96">
        <v>238.5</v>
      </c>
    </row>
    <row r="124" spans="2:3" x14ac:dyDescent="0.35">
      <c r="B124" s="97">
        <v>48183</v>
      </c>
      <c r="C124" s="96">
        <v>239.4</v>
      </c>
    </row>
    <row r="125" spans="2:3" x14ac:dyDescent="0.35">
      <c r="B125" s="97">
        <v>48214</v>
      </c>
      <c r="C125" s="96">
        <v>238</v>
      </c>
    </row>
    <row r="126" spans="2:3" x14ac:dyDescent="0.35">
      <c r="B126" s="97">
        <v>48245</v>
      </c>
      <c r="C126" s="96">
        <v>239.9</v>
      </c>
    </row>
    <row r="127" spans="2:3" x14ac:dyDescent="0.35">
      <c r="B127" s="97">
        <v>48274</v>
      </c>
      <c r="C127" s="96">
        <v>240.8</v>
      </c>
    </row>
    <row r="128" spans="2:3" x14ac:dyDescent="0.35">
      <c r="B128" s="97">
        <v>48305</v>
      </c>
      <c r="C128" s="96">
        <v>242.5</v>
      </c>
    </row>
    <row r="129" spans="2:3" x14ac:dyDescent="0.35">
      <c r="B129" s="97">
        <v>48335</v>
      </c>
      <c r="C129" s="96">
        <v>242.4</v>
      </c>
    </row>
    <row r="130" spans="2:3" x14ac:dyDescent="0.35">
      <c r="B130" s="97">
        <v>48366</v>
      </c>
      <c r="C130" s="96">
        <v>241.8</v>
      </c>
    </row>
    <row r="131" spans="2:3" x14ac:dyDescent="0.35">
      <c r="B131" s="97">
        <v>48396</v>
      </c>
      <c r="C131" s="96">
        <v>242.1</v>
      </c>
    </row>
    <row r="132" spans="2:3" x14ac:dyDescent="0.35">
      <c r="B132" s="97">
        <v>48427</v>
      </c>
      <c r="C132" s="96">
        <v>243</v>
      </c>
    </row>
    <row r="133" spans="2:3" x14ac:dyDescent="0.35">
      <c r="B133" s="97">
        <v>48458</v>
      </c>
      <c r="C133" s="96">
        <v>244.2</v>
      </c>
    </row>
    <row r="134" spans="2:3" x14ac:dyDescent="0.35">
      <c r="B134" s="97">
        <v>48488</v>
      </c>
      <c r="C134" s="96">
        <v>245.6</v>
      </c>
    </row>
    <row r="135" spans="2:3" x14ac:dyDescent="0.35">
      <c r="B135" s="97">
        <v>48519</v>
      </c>
      <c r="C135" s="96">
        <v>245.6</v>
      </c>
    </row>
    <row r="136" spans="2:3" x14ac:dyDescent="0.35">
      <c r="B136" s="97">
        <v>48549</v>
      </c>
      <c r="C136" s="96">
        <v>246.8</v>
      </c>
    </row>
    <row r="137" spans="2:3" x14ac:dyDescent="0.35">
      <c r="B137" s="97">
        <v>48580</v>
      </c>
      <c r="C137" s="96">
        <v>245.8</v>
      </c>
    </row>
    <row r="138" spans="2:3" x14ac:dyDescent="0.35">
      <c r="B138" s="97">
        <v>48611</v>
      </c>
      <c r="C138" s="96">
        <v>247.6</v>
      </c>
    </row>
    <row r="139" spans="2:3" x14ac:dyDescent="0.35">
      <c r="B139" s="97">
        <v>48639</v>
      </c>
      <c r="C139" s="96">
        <v>248.7</v>
      </c>
    </row>
    <row r="140" spans="2:3" x14ac:dyDescent="0.35">
      <c r="B140" s="97">
        <v>48670</v>
      </c>
      <c r="C140" s="96">
        <v>249.5</v>
      </c>
    </row>
    <row r="141" spans="2:3" x14ac:dyDescent="0.35">
      <c r="B141" s="97">
        <v>48700</v>
      </c>
      <c r="C141" s="96">
        <v>250</v>
      </c>
    </row>
    <row r="142" spans="2:3" x14ac:dyDescent="0.35">
      <c r="B142" s="97">
        <v>48731</v>
      </c>
      <c r="C142" s="96">
        <v>249.7</v>
      </c>
    </row>
    <row r="143" spans="2:3" x14ac:dyDescent="0.35">
      <c r="B143" s="97">
        <v>48761</v>
      </c>
      <c r="C143" s="96">
        <v>249.7</v>
      </c>
    </row>
    <row r="144" spans="2:3" x14ac:dyDescent="0.35">
      <c r="B144" s="97">
        <v>48792</v>
      </c>
      <c r="C144" s="96">
        <v>251</v>
      </c>
    </row>
    <row r="145" spans="2:3" x14ac:dyDescent="0.35">
      <c r="B145" s="97">
        <v>48823</v>
      </c>
      <c r="C145" s="96">
        <v>251.9</v>
      </c>
    </row>
    <row r="146" spans="2:3" x14ac:dyDescent="0.35">
      <c r="B146" s="97">
        <v>48853</v>
      </c>
      <c r="C146" s="96">
        <v>251.9</v>
      </c>
    </row>
    <row r="147" spans="2:3" x14ac:dyDescent="0.35">
      <c r="B147" s="97">
        <v>48884</v>
      </c>
      <c r="C147" s="96">
        <v>252.1</v>
      </c>
    </row>
    <row r="148" spans="2:3" x14ac:dyDescent="0.35">
      <c r="B148" s="97">
        <v>48914</v>
      </c>
      <c r="C148" s="96">
        <v>253.4</v>
      </c>
    </row>
    <row r="149" spans="2:3" x14ac:dyDescent="0.35">
      <c r="B149" s="97">
        <v>48945</v>
      </c>
      <c r="C149" s="96">
        <v>252.6</v>
      </c>
    </row>
    <row r="150" spans="2:3" x14ac:dyDescent="0.35">
      <c r="B150" s="97">
        <v>48976</v>
      </c>
      <c r="C150" s="96">
        <v>254.2</v>
      </c>
    </row>
    <row r="151" spans="2:3" x14ac:dyDescent="0.35">
      <c r="B151" s="97">
        <v>49004</v>
      </c>
      <c r="C151" s="96">
        <v>254.8</v>
      </c>
    </row>
    <row r="152" spans="2:3" x14ac:dyDescent="0.35">
      <c r="B152" s="97">
        <v>49035</v>
      </c>
      <c r="C152" s="96">
        <v>255.7</v>
      </c>
    </row>
    <row r="153" spans="2:3" x14ac:dyDescent="0.35">
      <c r="B153" s="97">
        <v>49065</v>
      </c>
      <c r="C153" s="96">
        <v>255.9</v>
      </c>
    </row>
    <row r="154" spans="2:3" x14ac:dyDescent="0.35">
      <c r="B154" s="97">
        <v>49096</v>
      </c>
      <c r="C154" s="96">
        <v>256.3</v>
      </c>
    </row>
    <row r="155" spans="2:3" x14ac:dyDescent="0.35">
      <c r="B155" s="97">
        <v>49126</v>
      </c>
      <c r="C155" s="96">
        <v>256</v>
      </c>
    </row>
    <row r="156" spans="2:3" x14ac:dyDescent="0.35">
      <c r="B156" s="97">
        <v>49157</v>
      </c>
      <c r="C156" s="96">
        <v>257</v>
      </c>
    </row>
    <row r="157" spans="2:3" x14ac:dyDescent="0.35">
      <c r="B157" s="97">
        <v>49188</v>
      </c>
      <c r="C157" s="96">
        <v>257.60000000000002</v>
      </c>
    </row>
    <row r="158" spans="2:3" x14ac:dyDescent="0.35">
      <c r="B158" s="97">
        <v>49218</v>
      </c>
      <c r="C158" s="96">
        <v>257.7</v>
      </c>
    </row>
    <row r="159" spans="2:3" x14ac:dyDescent="0.35">
      <c r="B159" s="97">
        <v>49249</v>
      </c>
      <c r="C159" s="96">
        <v>257.10000000000002</v>
      </c>
    </row>
    <row r="160" spans="2:3" x14ac:dyDescent="0.35">
      <c r="B160" s="97">
        <v>49279</v>
      </c>
      <c r="C160" s="96">
        <v>257.5</v>
      </c>
    </row>
    <row r="161" spans="2:3" x14ac:dyDescent="0.35">
      <c r="B161" s="97">
        <v>49310</v>
      </c>
      <c r="C161" s="96">
        <v>255.4</v>
      </c>
    </row>
    <row r="162" spans="2:3" x14ac:dyDescent="0.35">
      <c r="B162" s="97">
        <v>49341</v>
      </c>
      <c r="C162" s="96">
        <v>256.7</v>
      </c>
    </row>
    <row r="163" spans="2:3" x14ac:dyDescent="0.35">
      <c r="B163" s="97">
        <v>49369</v>
      </c>
      <c r="C163" s="96">
        <v>257.10000000000002</v>
      </c>
    </row>
    <row r="164" spans="2:3" x14ac:dyDescent="0.35">
      <c r="B164" s="97">
        <v>49400</v>
      </c>
      <c r="C164" s="96">
        <v>258</v>
      </c>
    </row>
    <row r="165" spans="2:3" x14ac:dyDescent="0.35">
      <c r="B165" s="97">
        <v>49430</v>
      </c>
      <c r="C165" s="96">
        <v>258.5</v>
      </c>
    </row>
    <row r="166" spans="2:3" x14ac:dyDescent="0.35">
      <c r="B166" s="97">
        <v>49461</v>
      </c>
      <c r="C166" s="96">
        <v>258.89999999999998</v>
      </c>
    </row>
    <row r="167" spans="2:3" x14ac:dyDescent="0.35">
      <c r="B167" s="97">
        <v>49491</v>
      </c>
      <c r="C167" s="96">
        <v>258.60000000000002</v>
      </c>
    </row>
    <row r="168" spans="2:3" x14ac:dyDescent="0.35">
      <c r="B168" s="97">
        <v>49522</v>
      </c>
      <c r="C168" s="96">
        <v>259.8</v>
      </c>
    </row>
    <row r="169" spans="2:3" x14ac:dyDescent="0.35">
      <c r="B169" s="97">
        <v>49553</v>
      </c>
      <c r="C169" s="96">
        <v>259.60000000000002</v>
      </c>
    </row>
    <row r="170" spans="2:3" x14ac:dyDescent="0.35">
      <c r="B170" s="97">
        <v>49583</v>
      </c>
      <c r="C170" s="96">
        <v>259.5</v>
      </c>
    </row>
    <row r="171" spans="2:3" x14ac:dyDescent="0.35">
      <c r="B171" s="97">
        <v>49614</v>
      </c>
      <c r="C171" s="96">
        <v>259.8</v>
      </c>
    </row>
    <row r="172" spans="2:3" x14ac:dyDescent="0.35">
      <c r="B172" s="97">
        <v>49644</v>
      </c>
      <c r="C172" s="96">
        <v>260.60000000000002</v>
      </c>
    </row>
    <row r="173" spans="2:3" x14ac:dyDescent="0.35">
      <c r="B173" s="97">
        <v>49675</v>
      </c>
      <c r="C173" s="96">
        <v>258.8</v>
      </c>
    </row>
    <row r="174" spans="2:3" x14ac:dyDescent="0.35">
      <c r="B174" s="97">
        <v>49706</v>
      </c>
      <c r="C174" s="96">
        <v>260</v>
      </c>
    </row>
    <row r="175" spans="2:3" x14ac:dyDescent="0.35">
      <c r="B175" s="97">
        <v>49735</v>
      </c>
      <c r="C175" s="96">
        <v>261.10000000000002</v>
      </c>
    </row>
    <row r="176" spans="2:3" x14ac:dyDescent="0.35">
      <c r="B176" s="97">
        <v>49766</v>
      </c>
      <c r="C176" s="96">
        <v>261.39999999999998</v>
      </c>
    </row>
    <row r="177" spans="2:3" x14ac:dyDescent="0.35">
      <c r="B177" s="97">
        <v>49796</v>
      </c>
      <c r="C177" s="96">
        <v>262.10000000000002</v>
      </c>
    </row>
    <row r="178" spans="2:3" x14ac:dyDescent="0.35">
      <c r="B178" s="97">
        <v>49827</v>
      </c>
      <c r="C178" s="96">
        <v>263.10000000000002</v>
      </c>
    </row>
    <row r="179" spans="2:3" x14ac:dyDescent="0.35">
      <c r="B179" s="97">
        <v>49857</v>
      </c>
      <c r="C179" s="96">
        <v>263.39999999999998</v>
      </c>
    </row>
    <row r="180" spans="2:3" x14ac:dyDescent="0.35">
      <c r="B180" s="97">
        <v>49888</v>
      </c>
      <c r="C180" s="96">
        <v>264.39999999999998</v>
      </c>
    </row>
    <row r="181" spans="2:3" x14ac:dyDescent="0.35">
      <c r="B181" s="97">
        <v>49919</v>
      </c>
      <c r="C181" s="96">
        <v>264.89999999999998</v>
      </c>
    </row>
    <row r="182" spans="2:3" x14ac:dyDescent="0.35">
      <c r="B182" s="97">
        <v>49949</v>
      </c>
      <c r="C182" s="96">
        <v>264.8</v>
      </c>
    </row>
    <row r="183" spans="2:3" x14ac:dyDescent="0.35">
      <c r="B183" s="97">
        <v>49980</v>
      </c>
      <c r="C183" s="96">
        <v>265.5</v>
      </c>
    </row>
    <row r="184" spans="2:3" x14ac:dyDescent="0.35">
      <c r="B184" s="97">
        <v>50010</v>
      </c>
      <c r="C184" s="96">
        <v>267.10000000000002</v>
      </c>
    </row>
    <row r="185" spans="2:3" x14ac:dyDescent="0.35">
      <c r="B185" s="97">
        <v>50041</v>
      </c>
      <c r="C185" s="96">
        <v>265.5</v>
      </c>
    </row>
    <row r="186" spans="2:3" x14ac:dyDescent="0.35">
      <c r="B186" s="97">
        <v>50072</v>
      </c>
      <c r="C186" s="96">
        <v>268.39999999999998</v>
      </c>
    </row>
    <row r="187" spans="2:3" x14ac:dyDescent="0.35">
      <c r="B187" s="97">
        <v>50100</v>
      </c>
      <c r="C187" s="96">
        <v>269.3</v>
      </c>
    </row>
    <row r="188" spans="2:3" x14ac:dyDescent="0.35">
      <c r="B188" s="97">
        <v>50131</v>
      </c>
      <c r="C188" s="96">
        <v>270.60000000000002</v>
      </c>
    </row>
    <row r="189" spans="2:3" x14ac:dyDescent="0.35">
      <c r="B189" s="97">
        <v>50161</v>
      </c>
      <c r="C189" s="96">
        <v>271.7</v>
      </c>
    </row>
    <row r="190" spans="2:3" x14ac:dyDescent="0.35">
      <c r="B190" s="97">
        <v>50192</v>
      </c>
      <c r="C190" s="96">
        <v>272.3</v>
      </c>
    </row>
    <row r="191" spans="2:3" x14ac:dyDescent="0.35">
      <c r="B191" s="97">
        <v>50222</v>
      </c>
      <c r="C191" s="96">
        <v>272.89999999999998</v>
      </c>
    </row>
    <row r="192" spans="2:3" x14ac:dyDescent="0.35">
      <c r="B192" s="97">
        <v>50253</v>
      </c>
      <c r="C192" s="96">
        <v>274.7</v>
      </c>
    </row>
    <row r="193" spans="2:3" x14ac:dyDescent="0.35">
      <c r="B193" s="97">
        <v>50284</v>
      </c>
      <c r="C193" s="96">
        <v>275.10000000000002</v>
      </c>
    </row>
    <row r="194" spans="2:3" x14ac:dyDescent="0.35">
      <c r="B194" s="97">
        <v>50314</v>
      </c>
      <c r="C194" s="96">
        <v>275.3</v>
      </c>
    </row>
    <row r="195" spans="2:3" x14ac:dyDescent="0.35">
      <c r="B195" s="97">
        <v>50345</v>
      </c>
      <c r="C195" s="96">
        <v>279.5</v>
      </c>
    </row>
    <row r="196" spans="2:3" x14ac:dyDescent="0.35">
      <c r="B196" s="97">
        <v>50375</v>
      </c>
      <c r="C196" s="96">
        <v>283.8</v>
      </c>
    </row>
    <row r="197" spans="2:3" x14ac:dyDescent="0.35">
      <c r="B197" s="97">
        <v>50406</v>
      </c>
      <c r="C197" s="96">
        <v>288.10000000000002</v>
      </c>
    </row>
    <row r="198" spans="2:3" x14ac:dyDescent="0.35">
      <c r="B198" s="97">
        <v>50437</v>
      </c>
      <c r="C198" s="96">
        <v>292.5</v>
      </c>
    </row>
    <row r="199" spans="2:3" x14ac:dyDescent="0.35">
      <c r="B199" s="97">
        <v>50465</v>
      </c>
      <c r="C199" s="96">
        <v>297</v>
      </c>
    </row>
    <row r="200" spans="2:3" x14ac:dyDescent="0.35">
      <c r="B200" s="97">
        <v>50496</v>
      </c>
      <c r="C200" s="96">
        <v>301.5</v>
      </c>
    </row>
    <row r="201" spans="2:3" x14ac:dyDescent="0.35">
      <c r="B201" s="97">
        <v>50526</v>
      </c>
      <c r="C201" s="96">
        <v>306.10000000000002</v>
      </c>
    </row>
    <row r="202" spans="2:3" x14ac:dyDescent="0.35">
      <c r="B202" s="97">
        <v>50557</v>
      </c>
      <c r="C202" s="96">
        <v>310.8</v>
      </c>
    </row>
    <row r="203" spans="2:3" x14ac:dyDescent="0.35">
      <c r="B203" s="97">
        <v>50587</v>
      </c>
      <c r="C203" s="96">
        <v>315.60000000000002</v>
      </c>
    </row>
    <row r="204" spans="2:3" x14ac:dyDescent="0.35">
      <c r="B204" s="97">
        <v>50618</v>
      </c>
      <c r="C204" s="96">
        <v>320.39999999999998</v>
      </c>
    </row>
    <row r="205" spans="2:3" x14ac:dyDescent="0.35">
      <c r="B205" s="97">
        <v>50649</v>
      </c>
      <c r="C205" s="96">
        <v>325.3</v>
      </c>
    </row>
    <row r="206" spans="2:3" x14ac:dyDescent="0.35">
      <c r="B206" s="97">
        <v>50679</v>
      </c>
      <c r="C206" s="96">
        <v>330.3</v>
      </c>
    </row>
    <row r="207" spans="2:3" x14ac:dyDescent="0.35">
      <c r="B207" s="97">
        <v>50710</v>
      </c>
      <c r="C207" s="96">
        <v>335.4</v>
      </c>
    </row>
    <row r="208" spans="2:3" x14ac:dyDescent="0.35">
      <c r="B208" s="97">
        <v>50740</v>
      </c>
      <c r="C208" s="96">
        <v>340.5</v>
      </c>
    </row>
    <row r="209" spans="3:3" x14ac:dyDescent="0.35">
      <c r="C209" s="5"/>
    </row>
    <row r="210" spans="3:3" x14ac:dyDescent="0.35">
      <c r="C210" s="5"/>
    </row>
    <row r="211" spans="3:3" x14ac:dyDescent="0.35">
      <c r="C211" s="5"/>
    </row>
    <row r="212" spans="3:3" x14ac:dyDescent="0.35">
      <c r="C212" s="5"/>
    </row>
    <row r="213" spans="3:3" x14ac:dyDescent="0.35">
      <c r="C213" s="5"/>
    </row>
    <row r="214" spans="3:3" x14ac:dyDescent="0.35">
      <c r="C214" s="5"/>
    </row>
    <row r="215" spans="3:3" x14ac:dyDescent="0.35">
      <c r="C215" s="5"/>
    </row>
    <row r="216" spans="3:3" x14ac:dyDescent="0.35">
      <c r="C216" s="5"/>
    </row>
    <row r="217" spans="3:3" x14ac:dyDescent="0.35">
      <c r="C217" s="5"/>
    </row>
    <row r="218" spans="3:3" x14ac:dyDescent="0.35">
      <c r="C218" s="5"/>
    </row>
    <row r="219" spans="3:3" x14ac:dyDescent="0.35">
      <c r="C219" s="5"/>
    </row>
    <row r="220" spans="3:3" x14ac:dyDescent="0.35">
      <c r="C220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8"/>
  <sheetViews>
    <sheetView zoomScale="85" zoomScaleNormal="85" workbookViewId="0"/>
  </sheetViews>
  <sheetFormatPr defaultColWidth="8.83203125" defaultRowHeight="14.5" x14ac:dyDescent="0.35"/>
  <cols>
    <col min="1" max="4" width="8.83203125" style="60"/>
    <col min="5" max="5" width="9.08203125" style="60" bestFit="1" customWidth="1"/>
    <col min="6" max="6" width="8.83203125" style="60"/>
    <col min="7" max="7" width="14.4140625" style="60" bestFit="1" customWidth="1"/>
    <col min="8" max="8" width="9.4140625" style="60" customWidth="1"/>
    <col min="9" max="9" width="9.58203125" style="60" bestFit="1" customWidth="1"/>
    <col min="10" max="11" width="8.83203125" style="60"/>
    <col min="12" max="12" width="12.58203125" style="60" bestFit="1" customWidth="1"/>
    <col min="13" max="13" width="8.4140625" style="60" bestFit="1" customWidth="1"/>
    <col min="14" max="14" width="8.83203125" style="60"/>
    <col min="15" max="15" width="9.58203125" style="60" bestFit="1" customWidth="1"/>
    <col min="16" max="17" width="10.1640625" style="60" bestFit="1" customWidth="1"/>
    <col min="18" max="18" width="12.08203125" style="60" customWidth="1"/>
    <col min="19" max="19" width="8.58203125" style="60" customWidth="1"/>
    <col min="20" max="20" width="17.08203125" style="60" customWidth="1"/>
    <col min="21" max="21" width="10.9140625" style="60" customWidth="1"/>
    <col min="22" max="23" width="9.08203125" style="60" bestFit="1" customWidth="1"/>
    <col min="24" max="24" width="8.58203125" style="60" customWidth="1"/>
    <col min="25" max="25" width="8.58203125" style="60" bestFit="1" customWidth="1"/>
    <col min="26" max="27" width="8.4140625" style="60" bestFit="1" customWidth="1"/>
    <col min="28" max="29" width="8.58203125" style="60" bestFit="1" customWidth="1"/>
    <col min="30" max="33" width="8.83203125" style="60"/>
    <col min="34" max="34" width="8.6640625" style="60" bestFit="1" customWidth="1"/>
    <col min="35" max="16384" width="8.83203125" style="60"/>
  </cols>
  <sheetData>
    <row r="1" spans="1:23" ht="15.5" x14ac:dyDescent="0.35"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3" x14ac:dyDescent="0.35">
      <c r="G2" s="60" t="s">
        <v>92</v>
      </c>
      <c r="H2" s="61">
        <v>500000</v>
      </c>
    </row>
    <row r="3" spans="1:23" ht="21" x14ac:dyDescent="0.5">
      <c r="B3" s="62" t="s">
        <v>93</v>
      </c>
      <c r="G3" s="60" t="s">
        <v>60</v>
      </c>
      <c r="H3" s="61">
        <v>15000</v>
      </c>
    </row>
    <row r="4" spans="1:23" ht="15.5" x14ac:dyDescent="0.35">
      <c r="A4" s="85"/>
      <c r="B4" s="86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23" ht="41" x14ac:dyDescent="0.35">
      <c r="B5" s="45" t="s">
        <v>94</v>
      </c>
      <c r="C5" s="63" t="s">
        <v>84</v>
      </c>
      <c r="D5" s="45" t="s">
        <v>28</v>
      </c>
      <c r="E5" s="45" t="s">
        <v>95</v>
      </c>
      <c r="F5" s="45" t="s">
        <v>96</v>
      </c>
      <c r="G5" s="45" t="s">
        <v>97</v>
      </c>
      <c r="H5" s="64" t="s">
        <v>98</v>
      </c>
      <c r="I5" s="45" t="s">
        <v>99</v>
      </c>
      <c r="J5" s="45" t="s">
        <v>40</v>
      </c>
      <c r="K5" s="45" t="s">
        <v>100</v>
      </c>
      <c r="L5" s="45" t="s">
        <v>101</v>
      </c>
      <c r="M5" s="45" t="s">
        <v>102</v>
      </c>
      <c r="N5" s="45" t="s">
        <v>103</v>
      </c>
      <c r="O5" s="45" t="s">
        <v>104</v>
      </c>
      <c r="P5" s="45" t="s">
        <v>105</v>
      </c>
      <c r="Q5" s="45" t="s">
        <v>106</v>
      </c>
      <c r="R5" s="65" t="s">
        <v>107</v>
      </c>
      <c r="T5" s="66"/>
      <c r="U5" s="66"/>
      <c r="V5" s="66"/>
    </row>
    <row r="6" spans="1:23" x14ac:dyDescent="0.35">
      <c r="B6" s="43">
        <v>1</v>
      </c>
      <c r="C6" s="43">
        <f>2012</f>
        <v>2012</v>
      </c>
      <c r="D6" s="43">
        <v>30</v>
      </c>
      <c r="E6" s="67">
        <f>$H$2</f>
        <v>500000</v>
      </c>
      <c r="F6" s="67">
        <f>VLOOKUP($C6,'Q.3 Input'!$U$6:$V$16,2,0)</f>
        <v>45</v>
      </c>
      <c r="G6" s="67">
        <f>F6*E6/1000</f>
        <v>22500</v>
      </c>
      <c r="H6" s="68">
        <f>VLOOKUP(D6,'Q.3 Input'!$B$6:$C$121,2,0)*'Q.3 Input'!$S$6</f>
        <v>7.3275E-4</v>
      </c>
      <c r="I6" s="69">
        <v>0</v>
      </c>
      <c r="J6" s="70">
        <f>$H$3</f>
        <v>15000</v>
      </c>
      <c r="K6" s="70">
        <f>IF($B6=1,-'Q.3 Input'!$H$6,0)</f>
        <v>-2500</v>
      </c>
      <c r="L6" s="69">
        <f>IF($B6=1,0,-VLOOKUP($C6,'Q.3 Input'!$J$6:$K$16,2,0))</f>
        <v>0</v>
      </c>
      <c r="M6" s="69">
        <f>IF($B6=1,-'Q.3 Input'!$N$6,-'Q.3 Input'!$N$7)*'Q.3(i)'!J6</f>
        <v>-2250</v>
      </c>
      <c r="N6" s="71">
        <f>VLOOKUP($C6,'Q.3 Input'!$P$6:$Q$16,2,0)</f>
        <v>0.105</v>
      </c>
      <c r="O6" s="69">
        <f t="shared" ref="O6:O16" si="0">SUM(I6:M6)*(1+N6)</f>
        <v>11326.25</v>
      </c>
      <c r="P6" s="69">
        <f t="shared" ref="P6:P16" si="1">-(E6+G6)*H6</f>
        <v>-382.861875</v>
      </c>
      <c r="Q6" s="69">
        <f t="shared" ref="Q6:Q16" si="2">O6+P6</f>
        <v>10943.388124999999</v>
      </c>
      <c r="R6" s="72">
        <f t="shared" ref="R6:R16" si="3">Q6/(1-H6)</f>
        <v>10951.412772709202</v>
      </c>
      <c r="T6" s="66"/>
      <c r="U6" s="66"/>
      <c r="V6" s="66"/>
      <c r="W6" s="73"/>
    </row>
    <row r="7" spans="1:23" x14ac:dyDescent="0.35">
      <c r="B7" s="43">
        <f t="shared" ref="B7:C16" si="4">B6+1</f>
        <v>2</v>
      </c>
      <c r="C7" s="43">
        <f t="shared" si="4"/>
        <v>2013</v>
      </c>
      <c r="D7" s="43">
        <f t="shared" ref="D7:D16" si="5">+D6+1</f>
        <v>31</v>
      </c>
      <c r="E7" s="67">
        <f t="shared" ref="E7:E16" si="6">$H$2</f>
        <v>500000</v>
      </c>
      <c r="F7" s="67">
        <f>VLOOKUP($C7,'Q.3 Input'!$U$6:$V$16,2,0)</f>
        <v>45</v>
      </c>
      <c r="G7" s="67">
        <f t="shared" ref="G7:G16" si="7">F7*E7/1000+G6</f>
        <v>45000</v>
      </c>
      <c r="H7" s="68">
        <f>VLOOKUP(D7,'Q.3 Input'!$B$6:$C$121,2,0)*'Q.3 Input'!$S$6</f>
        <v>7.5375000000000008E-4</v>
      </c>
      <c r="I7" s="69">
        <f t="shared" ref="I7:I16" si="8">R6</f>
        <v>10951.412772709202</v>
      </c>
      <c r="J7" s="70">
        <f t="shared" ref="J7:J16" si="9">$H$3</f>
        <v>15000</v>
      </c>
      <c r="K7" s="70">
        <f>IF($B7=1,-'Q.3 Input'!$H$6,0)</f>
        <v>0</v>
      </c>
      <c r="L7" s="69">
        <f>IF($B7=1,0,-VLOOKUP($C7,'Q.3 Input'!$J$6:$K$16,2,0))</f>
        <v>-265</v>
      </c>
      <c r="M7" s="69">
        <f>IF($B7=1,-'Q.3 Input'!$N$6,-'Q.3 Input'!$N$7)*'Q.3(i)'!J7</f>
        <v>-300</v>
      </c>
      <c r="N7" s="71">
        <f>VLOOKUP($C7,'Q.3 Input'!$P$6:$Q$16,2,0)</f>
        <v>0.10150000000000001</v>
      </c>
      <c r="O7" s="69">
        <f t="shared" si="0"/>
        <v>27963.133669139184</v>
      </c>
      <c r="P7" s="69">
        <f t="shared" si="1"/>
        <v>-410.79375000000005</v>
      </c>
      <c r="Q7" s="69">
        <f t="shared" si="2"/>
        <v>27552.339919139184</v>
      </c>
      <c r="R7" s="72">
        <f t="shared" si="3"/>
        <v>27573.123160721578</v>
      </c>
      <c r="T7" s="66"/>
      <c r="U7" s="66"/>
      <c r="V7" s="66"/>
      <c r="W7" s="74"/>
    </row>
    <row r="8" spans="1:23" x14ac:dyDescent="0.35">
      <c r="B8" s="43">
        <f t="shared" si="4"/>
        <v>3</v>
      </c>
      <c r="C8" s="43">
        <f t="shared" si="4"/>
        <v>2014</v>
      </c>
      <c r="D8" s="43">
        <f t="shared" si="5"/>
        <v>32</v>
      </c>
      <c r="E8" s="67">
        <f t="shared" si="6"/>
        <v>500000</v>
      </c>
      <c r="F8" s="67">
        <f>VLOOKUP($C8,'Q.3 Input'!$U$6:$V$16,2,0)</f>
        <v>44</v>
      </c>
      <c r="G8" s="67">
        <f t="shared" si="7"/>
        <v>67000</v>
      </c>
      <c r="H8" s="68">
        <f>VLOOKUP(D8,'Q.3 Input'!$B$6:$C$121,2,0)*'Q.3 Input'!$S$6</f>
        <v>7.8149999999999997E-4</v>
      </c>
      <c r="I8" s="69">
        <f t="shared" si="8"/>
        <v>27573.123160721578</v>
      </c>
      <c r="J8" s="70">
        <f t="shared" si="9"/>
        <v>15000</v>
      </c>
      <c r="K8" s="70">
        <f>IF($B8=1,-'Q.3 Input'!$H$6,0)</f>
        <v>0</v>
      </c>
      <c r="L8" s="69">
        <f>IF($B8=1,0,-VLOOKUP($C8,'Q.3 Input'!$J$6:$K$16,2,0))</f>
        <v>-280</v>
      </c>
      <c r="M8" s="69">
        <f>IF($B8=1,-'Q.3 Input'!$N$6,-'Q.3 Input'!$N$7)*'Q.3(i)'!J8</f>
        <v>-300</v>
      </c>
      <c r="N8" s="71">
        <f>VLOOKUP($C8,'Q.3 Input'!$P$6:$Q$16,2,0)</f>
        <v>9.6000000000000002E-2</v>
      </c>
      <c r="O8" s="69">
        <f t="shared" si="0"/>
        <v>46024.46298415085</v>
      </c>
      <c r="P8" s="69">
        <f t="shared" si="1"/>
        <v>-443.1105</v>
      </c>
      <c r="Q8" s="69">
        <f t="shared" si="2"/>
        <v>45581.352484150848</v>
      </c>
      <c r="R8" s="72">
        <f t="shared" si="3"/>
        <v>45617.002171347754</v>
      </c>
      <c r="T8" s="66"/>
      <c r="U8" s="66"/>
      <c r="V8" s="66"/>
      <c r="W8" s="73"/>
    </row>
    <row r="9" spans="1:23" x14ac:dyDescent="0.35">
      <c r="B9" s="43">
        <f t="shared" si="4"/>
        <v>4</v>
      </c>
      <c r="C9" s="43">
        <f t="shared" si="4"/>
        <v>2015</v>
      </c>
      <c r="D9" s="43">
        <f t="shared" si="5"/>
        <v>33</v>
      </c>
      <c r="E9" s="67">
        <f t="shared" si="6"/>
        <v>500000</v>
      </c>
      <c r="F9" s="67">
        <f>VLOOKUP($C9,'Q.3 Input'!$U$6:$V$16,2,0)</f>
        <v>43</v>
      </c>
      <c r="G9" s="67">
        <f t="shared" si="7"/>
        <v>88500</v>
      </c>
      <c r="H9" s="68">
        <f>VLOOKUP(D9,'Q.3 Input'!$B$6:$C$121,2,0)*'Q.3 Input'!$S$6</f>
        <v>8.144999999999999E-4</v>
      </c>
      <c r="I9" s="69">
        <f t="shared" si="8"/>
        <v>45617.002171347754</v>
      </c>
      <c r="J9" s="70">
        <f t="shared" si="9"/>
        <v>15000</v>
      </c>
      <c r="K9" s="70">
        <f>IF($B9=1,-'Q.3 Input'!$H$6,0)</f>
        <v>0</v>
      </c>
      <c r="L9" s="69">
        <f>IF($B9=1,0,-VLOOKUP($C9,'Q.3 Input'!$J$6:$K$16,2,0))</f>
        <v>-298</v>
      </c>
      <c r="M9" s="69">
        <f>IF($B9=1,-'Q.3 Input'!$N$6,-'Q.3 Input'!$N$7)*'Q.3(i)'!J9</f>
        <v>-300</v>
      </c>
      <c r="N9" s="71">
        <f>VLOOKUP($C9,'Q.3 Input'!$P$6:$Q$16,2,0)</f>
        <v>0.1</v>
      </c>
      <c r="O9" s="69">
        <f t="shared" si="0"/>
        <v>66020.902388482529</v>
      </c>
      <c r="P9" s="69">
        <f t="shared" si="1"/>
        <v>-479.33324999999996</v>
      </c>
      <c r="Q9" s="69">
        <f t="shared" si="2"/>
        <v>65541.569138482533</v>
      </c>
      <c r="R9" s="72">
        <f t="shared" si="3"/>
        <v>65594.996262938701</v>
      </c>
      <c r="T9" s="66"/>
      <c r="U9" s="66"/>
      <c r="V9" s="66"/>
    </row>
    <row r="10" spans="1:23" x14ac:dyDescent="0.35">
      <c r="B10" s="43">
        <f t="shared" si="4"/>
        <v>5</v>
      </c>
      <c r="C10" s="43">
        <f t="shared" si="4"/>
        <v>2016</v>
      </c>
      <c r="D10" s="43">
        <f t="shared" si="5"/>
        <v>34</v>
      </c>
      <c r="E10" s="67">
        <f t="shared" si="6"/>
        <v>500000</v>
      </c>
      <c r="F10" s="67">
        <f>VLOOKUP($C10,'Q.3 Input'!$U$6:$V$16,2,0)</f>
        <v>43</v>
      </c>
      <c r="G10" s="67">
        <f t="shared" si="7"/>
        <v>110000</v>
      </c>
      <c r="H10" s="68">
        <f>VLOOKUP(D10,'Q.3 Input'!$B$6:$C$121,2,0)*'Q.3 Input'!$S$6</f>
        <v>8.5499999999999997E-4</v>
      </c>
      <c r="I10" s="69">
        <f t="shared" si="8"/>
        <v>65594.996262938701</v>
      </c>
      <c r="J10" s="70">
        <f t="shared" si="9"/>
        <v>15000</v>
      </c>
      <c r="K10" s="70">
        <f>IF($B10=1,-'Q.3 Input'!$H$6,0)</f>
        <v>0</v>
      </c>
      <c r="L10" s="69">
        <f>IF($B10=1,0,-VLOOKUP($C10,'Q.3 Input'!$J$6:$K$16,2,0))</f>
        <v>-314</v>
      </c>
      <c r="M10" s="69">
        <f>IF($B10=1,-'Q.3 Input'!$N$6,-'Q.3 Input'!$N$7)*'Q.3(i)'!J10</f>
        <v>-300</v>
      </c>
      <c r="N10" s="71">
        <f>VLOOKUP($C10,'Q.3 Input'!$P$6:$Q$16,2,0)</f>
        <v>9.5000000000000001E-2</v>
      </c>
      <c r="O10" s="69">
        <f t="shared" si="0"/>
        <v>87579.190907917873</v>
      </c>
      <c r="P10" s="69">
        <f t="shared" si="1"/>
        <v>-521.54999999999995</v>
      </c>
      <c r="Q10" s="69">
        <f t="shared" si="2"/>
        <v>87057.64090791787</v>
      </c>
      <c r="R10" s="72">
        <f t="shared" si="3"/>
        <v>87132.138886665969</v>
      </c>
      <c r="T10" s="66"/>
      <c r="U10" s="66"/>
      <c r="V10" s="66"/>
    </row>
    <row r="11" spans="1:23" x14ac:dyDescent="0.35">
      <c r="B11" s="43">
        <f t="shared" si="4"/>
        <v>6</v>
      </c>
      <c r="C11" s="43">
        <f t="shared" si="4"/>
        <v>2017</v>
      </c>
      <c r="D11" s="43">
        <f t="shared" si="5"/>
        <v>35</v>
      </c>
      <c r="E11" s="67">
        <f t="shared" si="6"/>
        <v>500000</v>
      </c>
      <c r="F11" s="67">
        <f>VLOOKUP($C11,'Q.3 Input'!$U$6:$V$16,2,0)</f>
        <v>42</v>
      </c>
      <c r="G11" s="67">
        <f t="shared" si="7"/>
        <v>131000</v>
      </c>
      <c r="H11" s="68">
        <f>VLOOKUP(D11,'Q.3 Input'!$B$6:$C$121,2,0)*'Q.3 Input'!$S$6</f>
        <v>9.0149999999999996E-4</v>
      </c>
      <c r="I11" s="69">
        <f t="shared" si="8"/>
        <v>87132.138886665969</v>
      </c>
      <c r="J11" s="70">
        <f t="shared" si="9"/>
        <v>15000</v>
      </c>
      <c r="K11" s="70">
        <f>IF($B11=1,-'Q.3 Input'!$H$6,0)</f>
        <v>0</v>
      </c>
      <c r="L11" s="69">
        <f>IF($B11=1,0,-VLOOKUP($C11,'Q.3 Input'!$J$6:$K$16,2,0))</f>
        <v>-328</v>
      </c>
      <c r="M11" s="69">
        <f>IF($B11=1,-'Q.3 Input'!$N$6,-'Q.3 Input'!$N$7)*'Q.3(i)'!J11</f>
        <v>-300</v>
      </c>
      <c r="N11" s="71">
        <f>VLOOKUP($C11,'Q.3 Input'!$P$6:$Q$16,2,0)</f>
        <v>9.1999999999999998E-2</v>
      </c>
      <c r="O11" s="69">
        <f t="shared" si="0"/>
        <v>110842.51966423924</v>
      </c>
      <c r="P11" s="69">
        <f t="shared" si="1"/>
        <v>-568.84649999999999</v>
      </c>
      <c r="Q11" s="69">
        <f t="shared" si="2"/>
        <v>110273.67316423924</v>
      </c>
      <c r="R11" s="72">
        <f t="shared" si="3"/>
        <v>110373.17458112413</v>
      </c>
      <c r="T11" s="66"/>
      <c r="U11" s="66"/>
      <c r="V11" s="66"/>
    </row>
    <row r="12" spans="1:23" x14ac:dyDescent="0.35">
      <c r="B12" s="43">
        <f t="shared" si="4"/>
        <v>7</v>
      </c>
      <c r="C12" s="43">
        <f t="shared" si="4"/>
        <v>2018</v>
      </c>
      <c r="D12" s="43">
        <f t="shared" si="5"/>
        <v>36</v>
      </c>
      <c r="E12" s="67">
        <f t="shared" si="6"/>
        <v>500000</v>
      </c>
      <c r="F12" s="67">
        <f>VLOOKUP($C12,'Q.3 Input'!$U$6:$V$16,2,0)</f>
        <v>41</v>
      </c>
      <c r="G12" s="67">
        <f t="shared" si="7"/>
        <v>151500</v>
      </c>
      <c r="H12" s="68">
        <f>VLOOKUP(D12,'Q.3 Input'!$B$6:$C$121,2,0)*'Q.3 Input'!$S$6</f>
        <v>9.5625000000000007E-4</v>
      </c>
      <c r="I12" s="69">
        <f t="shared" si="8"/>
        <v>110373.17458112413</v>
      </c>
      <c r="J12" s="70">
        <f t="shared" si="9"/>
        <v>15000</v>
      </c>
      <c r="K12" s="70">
        <f>IF($B12=1,-'Q.3 Input'!$H$6,0)</f>
        <v>0</v>
      </c>
      <c r="L12" s="69">
        <f>IF($B12=1,0,-VLOOKUP($C12,'Q.3 Input'!$J$6:$K$16,2,0))</f>
        <v>-345</v>
      </c>
      <c r="M12" s="69">
        <f>IF($B12=1,-'Q.3 Input'!$N$6,-'Q.3 Input'!$N$7)*'Q.3(i)'!J12</f>
        <v>-300</v>
      </c>
      <c r="N12" s="71">
        <f>VLOOKUP($C12,'Q.3 Input'!$P$6:$Q$16,2,0)</f>
        <v>9.1999999999999998E-2</v>
      </c>
      <c r="O12" s="69">
        <f t="shared" si="0"/>
        <v>136203.16664258754</v>
      </c>
      <c r="P12" s="69">
        <f t="shared" si="1"/>
        <v>-622.99687500000005</v>
      </c>
      <c r="Q12" s="69">
        <f t="shared" si="2"/>
        <v>135580.16976758753</v>
      </c>
      <c r="R12" s="72">
        <f t="shared" si="3"/>
        <v>135709.94240000754</v>
      </c>
      <c r="T12" s="66"/>
      <c r="U12" s="66"/>
      <c r="V12" s="66"/>
    </row>
    <row r="13" spans="1:23" x14ac:dyDescent="0.35">
      <c r="B13" s="43">
        <f t="shared" si="4"/>
        <v>8</v>
      </c>
      <c r="C13" s="43">
        <f t="shared" si="4"/>
        <v>2019</v>
      </c>
      <c r="D13" s="43">
        <f t="shared" si="5"/>
        <v>37</v>
      </c>
      <c r="E13" s="67">
        <f t="shared" si="6"/>
        <v>500000</v>
      </c>
      <c r="F13" s="67">
        <f>VLOOKUP($C13,'Q.3 Input'!$U$6:$V$16,2,0)</f>
        <v>41</v>
      </c>
      <c r="G13" s="67">
        <f t="shared" si="7"/>
        <v>172000</v>
      </c>
      <c r="H13" s="68">
        <f>VLOOKUP(D13,'Q.3 Input'!$B$6:$C$121,2,0)*'Q.3 Input'!$S$6</f>
        <v>1.0185000000000001E-3</v>
      </c>
      <c r="I13" s="69">
        <f t="shared" si="8"/>
        <v>135709.94240000754</v>
      </c>
      <c r="J13" s="70">
        <f t="shared" si="9"/>
        <v>15000</v>
      </c>
      <c r="K13" s="70">
        <f>IF($B13=1,-'Q.3 Input'!$H$6,0)</f>
        <v>0</v>
      </c>
      <c r="L13" s="69">
        <f>IF($B13=1,0,-VLOOKUP($C13,'Q.3 Input'!$J$6:$K$16,2,0))</f>
        <v>-370</v>
      </c>
      <c r="M13" s="69">
        <f>IF($B13=1,-'Q.3 Input'!$N$6,-'Q.3 Input'!$N$7)*'Q.3(i)'!J13</f>
        <v>-300</v>
      </c>
      <c r="N13" s="71">
        <f>VLOOKUP($C13,'Q.3 Input'!$P$6:$Q$16,2,0)</f>
        <v>9.0499999999999997E-2</v>
      </c>
      <c r="O13" s="69">
        <f t="shared" si="0"/>
        <v>163618.55718720824</v>
      </c>
      <c r="P13" s="69">
        <f t="shared" si="1"/>
        <v>-684.43200000000002</v>
      </c>
      <c r="Q13" s="69">
        <f t="shared" si="2"/>
        <v>162934.12518720824</v>
      </c>
      <c r="R13" s="72">
        <f t="shared" si="3"/>
        <v>163100.24278448423</v>
      </c>
      <c r="T13" s="66"/>
      <c r="U13" s="66"/>
      <c r="V13" s="66"/>
    </row>
    <row r="14" spans="1:23" x14ac:dyDescent="0.35">
      <c r="B14" s="43">
        <f t="shared" si="4"/>
        <v>9</v>
      </c>
      <c r="C14" s="43">
        <f t="shared" si="4"/>
        <v>2020</v>
      </c>
      <c r="D14" s="43">
        <f t="shared" si="5"/>
        <v>38</v>
      </c>
      <c r="E14" s="67">
        <f t="shared" si="6"/>
        <v>500000</v>
      </c>
      <c r="F14" s="67">
        <f>VLOOKUP($C14,'Q.3 Input'!$U$6:$V$16,2,0)</f>
        <v>40</v>
      </c>
      <c r="G14" s="67">
        <f t="shared" si="7"/>
        <v>192000</v>
      </c>
      <c r="H14" s="68">
        <f>VLOOKUP(D14,'Q.3 Input'!$B$6:$C$121,2,0)*'Q.3 Input'!$S$6</f>
        <v>1.08975E-3</v>
      </c>
      <c r="I14" s="69">
        <f t="shared" si="8"/>
        <v>163100.24278448423</v>
      </c>
      <c r="J14" s="70">
        <f t="shared" si="9"/>
        <v>15000</v>
      </c>
      <c r="K14" s="70">
        <f>IF($B14=1,-'Q.3 Input'!$H$6,0)</f>
        <v>0</v>
      </c>
      <c r="L14" s="69">
        <f>IF($B14=1,0,-VLOOKUP($C14,'Q.3 Input'!$J$6:$K$16,2,0))</f>
        <v>-405</v>
      </c>
      <c r="M14" s="69">
        <f>IF($B14=1,-'Q.3 Input'!$N$6,-'Q.3 Input'!$N$7)*'Q.3(i)'!J14</f>
        <v>-300</v>
      </c>
      <c r="N14" s="71">
        <f>VLOOKUP($C14,'Q.3 Input'!$P$6:$Q$16,2,0)</f>
        <v>9.6000000000000002E-2</v>
      </c>
      <c r="O14" s="69">
        <f t="shared" si="0"/>
        <v>194425.18609179472</v>
      </c>
      <c r="P14" s="69">
        <f t="shared" si="1"/>
        <v>-754.10699999999997</v>
      </c>
      <c r="Q14" s="69">
        <f t="shared" si="2"/>
        <v>193671.07909179473</v>
      </c>
      <c r="R14" s="72">
        <f t="shared" si="3"/>
        <v>193882.36239621602</v>
      </c>
      <c r="T14" s="66"/>
      <c r="U14" s="66"/>
      <c r="V14" s="66"/>
    </row>
    <row r="15" spans="1:23" x14ac:dyDescent="0.35">
      <c r="B15" s="43">
        <f t="shared" si="4"/>
        <v>10</v>
      </c>
      <c r="C15" s="43">
        <f t="shared" si="4"/>
        <v>2021</v>
      </c>
      <c r="D15" s="43">
        <f t="shared" si="5"/>
        <v>39</v>
      </c>
      <c r="E15" s="67">
        <f t="shared" si="6"/>
        <v>500000</v>
      </c>
      <c r="F15" s="67">
        <f>VLOOKUP($C15,'Q.3 Input'!$U$6:$V$16,2,0)</f>
        <v>39</v>
      </c>
      <c r="G15" s="67">
        <f t="shared" si="7"/>
        <v>211500</v>
      </c>
      <c r="H15" s="68">
        <f>VLOOKUP(D15,'Q.3 Input'!$B$6:$C$121,2,0)*'Q.3 Input'!$S$6</f>
        <v>1.17E-3</v>
      </c>
      <c r="I15" s="69">
        <f t="shared" si="8"/>
        <v>193882.36239621602</v>
      </c>
      <c r="J15" s="70">
        <f t="shared" si="9"/>
        <v>15000</v>
      </c>
      <c r="K15" s="70">
        <f>IF($B15=1,-'Q.3 Input'!$H$6,0)</f>
        <v>0</v>
      </c>
      <c r="L15" s="69">
        <f>IF($B15=1,0,-VLOOKUP($C15,'Q.3 Input'!$J$6:$K$16,2,0))</f>
        <v>-450</v>
      </c>
      <c r="M15" s="69">
        <f>IF($B15=1,-'Q.3 Input'!$N$6,-'Q.3 Input'!$N$7)*'Q.3(i)'!J15</f>
        <v>-300</v>
      </c>
      <c r="N15" s="71">
        <f>VLOOKUP($C15,'Q.3 Input'!$P$6:$Q$16,2,0)</f>
        <v>0.09</v>
      </c>
      <c r="O15" s="69">
        <f t="shared" si="0"/>
        <v>226864.27501187549</v>
      </c>
      <c r="P15" s="69">
        <f t="shared" si="1"/>
        <v>-832.45500000000004</v>
      </c>
      <c r="Q15" s="69">
        <f t="shared" si="2"/>
        <v>226031.8200118755</v>
      </c>
      <c r="R15" s="72">
        <f t="shared" si="3"/>
        <v>226296.58701868737</v>
      </c>
      <c r="T15" s="66"/>
      <c r="U15" s="66"/>
      <c r="V15" s="66"/>
    </row>
    <row r="16" spans="1:23" x14ac:dyDescent="0.35">
      <c r="B16" s="43">
        <f t="shared" si="4"/>
        <v>11</v>
      </c>
      <c r="C16" s="43">
        <f t="shared" si="4"/>
        <v>2022</v>
      </c>
      <c r="D16" s="43">
        <f t="shared" si="5"/>
        <v>40</v>
      </c>
      <c r="E16" s="67">
        <f t="shared" si="6"/>
        <v>500000</v>
      </c>
      <c r="F16" s="67">
        <f>VLOOKUP($C16,'Q.3 Input'!$U$6:$V$16,2,0)</f>
        <v>39</v>
      </c>
      <c r="G16" s="67">
        <f t="shared" si="7"/>
        <v>231000</v>
      </c>
      <c r="H16" s="68">
        <f>VLOOKUP(D16,'Q.3 Input'!$B$6:$C$121,2,0)*'Q.3 Input'!$S$6</f>
        <v>1.2600000000000001E-3</v>
      </c>
      <c r="I16" s="69">
        <f t="shared" si="8"/>
        <v>226296.58701868737</v>
      </c>
      <c r="J16" s="70">
        <f t="shared" si="9"/>
        <v>15000</v>
      </c>
      <c r="K16" s="70">
        <f>IF($B16=1,-'Q.3 Input'!$H$6,0)</f>
        <v>0</v>
      </c>
      <c r="L16" s="69">
        <f>IF($B16=1,0,-VLOOKUP($C16,'Q.3 Input'!$J$6:$K$16,2,0))</f>
        <v>-499</v>
      </c>
      <c r="M16" s="69">
        <f>IF($B16=1,-'Q.3 Input'!$N$6,-'Q.3 Input'!$N$7)*'Q.3(i)'!J16</f>
        <v>-300</v>
      </c>
      <c r="N16" s="71">
        <f>VLOOKUP($C16,'Q.3 Input'!$P$6:$Q$16,2,0)</f>
        <v>8.6999999999999994E-2</v>
      </c>
      <c r="O16" s="69">
        <f t="shared" si="0"/>
        <v>261420.87708931314</v>
      </c>
      <c r="P16" s="69">
        <f t="shared" si="1"/>
        <v>-921.06000000000006</v>
      </c>
      <c r="Q16" s="69">
        <f t="shared" si="2"/>
        <v>260499.81708931315</v>
      </c>
      <c r="R16" s="72">
        <f t="shared" si="3"/>
        <v>260828.46095011028</v>
      </c>
    </row>
    <row r="18" spans="2:22" x14ac:dyDescent="0.35">
      <c r="T18" s="66"/>
      <c r="U18" s="66"/>
      <c r="V18" s="66"/>
    </row>
    <row r="19" spans="2:22" ht="15.5" x14ac:dyDescent="0.35">
      <c r="B19" s="60" t="s">
        <v>108</v>
      </c>
      <c r="G19" s="75">
        <f>R16</f>
        <v>260828.46095011028</v>
      </c>
      <c r="H19" s="85"/>
    </row>
    <row r="38" spans="19:24" x14ac:dyDescent="0.35">
      <c r="S38" s="73"/>
      <c r="T38" s="73"/>
      <c r="U38" s="73"/>
      <c r="V38" s="73"/>
      <c r="W38" s="73"/>
      <c r="X38" s="73"/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T25"/>
  <sheetViews>
    <sheetView zoomScale="85" zoomScaleNormal="85" workbookViewId="0"/>
  </sheetViews>
  <sheetFormatPr defaultColWidth="8.83203125" defaultRowHeight="14.5" x14ac:dyDescent="0.35"/>
  <cols>
    <col min="1" max="5" width="8.83203125" style="60"/>
    <col min="6" max="6" width="12.33203125" style="60" customWidth="1"/>
    <col min="7" max="13" width="8.83203125" style="60"/>
    <col min="14" max="14" width="9.4140625" style="60" customWidth="1"/>
    <col min="15" max="15" width="8.83203125" style="60"/>
    <col min="16" max="17" width="10.1640625" style="60" bestFit="1" customWidth="1"/>
    <col min="18" max="18" width="9.08203125" style="60" bestFit="1" customWidth="1"/>
    <col min="19" max="16384" width="8.83203125" style="60"/>
  </cols>
  <sheetData>
    <row r="3" spans="1:20" x14ac:dyDescent="0.35">
      <c r="D3" s="60" t="s">
        <v>111</v>
      </c>
      <c r="G3" s="60">
        <v>40</v>
      </c>
      <c r="H3" s="60" t="s">
        <v>112</v>
      </c>
    </row>
    <row r="5" spans="1:20" ht="16.5" x14ac:dyDescent="0.35">
      <c r="D5" s="60" t="s">
        <v>113</v>
      </c>
      <c r="G5" s="61">
        <f>('Q.3 Input'!F10-'Q.3 Input'!F14)/(1+'Q.3 Input'!F14)</f>
        <v>1.9047619047619049E-2</v>
      </c>
      <c r="I5" s="66" t="s">
        <v>114</v>
      </c>
    </row>
    <row r="6" spans="1:20" ht="16.5" x14ac:dyDescent="0.35">
      <c r="D6" s="60" t="s">
        <v>115</v>
      </c>
      <c r="G6" s="61">
        <f>1/(1+G5)</f>
        <v>0.98130841121495338</v>
      </c>
      <c r="I6" s="66" t="s">
        <v>116</v>
      </c>
    </row>
    <row r="8" spans="1:20" ht="18.5" x14ac:dyDescent="0.45">
      <c r="B8" s="76" t="s">
        <v>117</v>
      </c>
    </row>
    <row r="9" spans="1:20" ht="15.5" x14ac:dyDescent="0.35">
      <c r="A9" s="85"/>
      <c r="H9" s="85"/>
      <c r="I9" s="85"/>
      <c r="J9" s="85"/>
      <c r="K9" s="85"/>
      <c r="L9" s="85"/>
      <c r="M9" s="85"/>
      <c r="N9" s="85"/>
    </row>
    <row r="10" spans="1:20" ht="41" x14ac:dyDescent="0.35">
      <c r="B10" s="45" t="s">
        <v>94</v>
      </c>
      <c r="C10" s="45" t="s">
        <v>84</v>
      </c>
      <c r="D10" s="45" t="s">
        <v>28</v>
      </c>
      <c r="E10" s="45" t="s">
        <v>95</v>
      </c>
      <c r="F10" s="45" t="s">
        <v>109</v>
      </c>
      <c r="G10" s="45" t="s">
        <v>110</v>
      </c>
      <c r="H10" s="45" t="s">
        <v>78</v>
      </c>
      <c r="I10" s="45" t="s">
        <v>118</v>
      </c>
      <c r="J10" s="45" t="s">
        <v>119</v>
      </c>
      <c r="K10" s="65" t="s">
        <v>120</v>
      </c>
      <c r="L10" s="65" t="s">
        <v>121</v>
      </c>
      <c r="M10" s="65" t="s">
        <v>122</v>
      </c>
      <c r="N10" s="65" t="s">
        <v>123</v>
      </c>
      <c r="Q10" s="137"/>
      <c r="R10" s="137"/>
      <c r="S10" s="66"/>
      <c r="T10" s="66"/>
    </row>
    <row r="11" spans="1:20" x14ac:dyDescent="0.35">
      <c r="B11" s="77">
        <f>'Q.3(i)'!B16</f>
        <v>11</v>
      </c>
      <c r="C11" s="77">
        <f>'Q.3(i)'!C16</f>
        <v>2022</v>
      </c>
      <c r="D11" s="77">
        <f>'Q.3(i)'!D16</f>
        <v>40</v>
      </c>
      <c r="E11" s="78">
        <f>'Q.3(i)'!$H$2</f>
        <v>500000</v>
      </c>
      <c r="F11" s="78"/>
      <c r="G11" s="78">
        <f>'Q.3(i)'!G16</f>
        <v>231000</v>
      </c>
      <c r="H11" s="79"/>
      <c r="I11" s="79"/>
      <c r="J11" s="79">
        <v>1</v>
      </c>
      <c r="K11" s="80">
        <f>(K12*I12+H12)*'Q.3 Input'!$F$12</f>
        <v>2.8587304119288445E-2</v>
      </c>
      <c r="L11" s="80">
        <f>L12*I12*'Q.3 Input'!$F$12</f>
        <v>0.3680039653423256</v>
      </c>
      <c r="M11" s="80">
        <f>M12*I12*'Q.3 Input'!$F$12+1</f>
        <v>9.2235334525153245</v>
      </c>
      <c r="N11" s="80">
        <f t="shared" ref="N11:N24" si="0">N12*I12*$G$6+1</f>
        <v>12.210626502702908</v>
      </c>
      <c r="Q11" s="137"/>
      <c r="R11" s="137"/>
      <c r="S11" s="66"/>
      <c r="T11" s="66"/>
    </row>
    <row r="12" spans="1:20" x14ac:dyDescent="0.35">
      <c r="B12" s="77">
        <f t="shared" ref="B12:D25" si="1">B11+1</f>
        <v>12</v>
      </c>
      <c r="C12" s="77">
        <f t="shared" si="1"/>
        <v>2023</v>
      </c>
      <c r="D12" s="77">
        <f t="shared" si="1"/>
        <v>41</v>
      </c>
      <c r="E12" s="78">
        <f>'Q.3(i)'!$H$2</f>
        <v>500000</v>
      </c>
      <c r="F12" s="78">
        <f t="shared" ref="F12:F25" si="2">$G$3</f>
        <v>40</v>
      </c>
      <c r="G12" s="78">
        <f t="shared" ref="G12:G25" si="3">G11+F12*E12/1000</f>
        <v>251000</v>
      </c>
      <c r="H12" s="79">
        <f>VLOOKUP($D12,'Q.3 Input'!$B$6:$C$106,2,0)</f>
        <v>1.815E-3</v>
      </c>
      <c r="I12" s="79">
        <f t="shared" ref="I12:I25" si="4">1-H12</f>
        <v>0.99818499999999999</v>
      </c>
      <c r="J12" s="79">
        <f t="shared" ref="J12:J25" si="5">J11*I12</f>
        <v>0.99818499999999999</v>
      </c>
      <c r="K12" s="80">
        <f>(K13*I13+H13)*'Q.3 Input'!$F$12</f>
        <v>2.8825734115057466E-2</v>
      </c>
      <c r="L12" s="80">
        <f>L13*I13*'Q.3 Input'!$F$12</f>
        <v>0.39448022452379911</v>
      </c>
      <c r="M12" s="80">
        <f>M13*I13*'Q.3 Input'!$F$12+1</f>
        <v>8.8151803465203322</v>
      </c>
      <c r="N12" s="80">
        <f t="shared" si="0"/>
        <v>11.444934802277668</v>
      </c>
      <c r="Q12" s="138"/>
      <c r="R12" s="137"/>
      <c r="S12" s="66"/>
    </row>
    <row r="13" spans="1:20" x14ac:dyDescent="0.35">
      <c r="B13" s="77">
        <f t="shared" si="1"/>
        <v>13</v>
      </c>
      <c r="C13" s="77">
        <f t="shared" si="1"/>
        <v>2024</v>
      </c>
      <c r="D13" s="77">
        <f t="shared" si="1"/>
        <v>42</v>
      </c>
      <c r="E13" s="78">
        <f>'Q.3(i)'!$H$2</f>
        <v>500000</v>
      </c>
      <c r="F13" s="78">
        <f t="shared" si="2"/>
        <v>40</v>
      </c>
      <c r="G13" s="78">
        <f t="shared" si="3"/>
        <v>271000</v>
      </c>
      <c r="H13" s="79">
        <f>VLOOKUP($D13,'Q.3 Input'!$B$6:$C$106,2,0)</f>
        <v>1.9689999999999998E-3</v>
      </c>
      <c r="I13" s="79">
        <f t="shared" si="4"/>
        <v>0.998031</v>
      </c>
      <c r="J13" s="79">
        <f t="shared" si="5"/>
        <v>0.99621957373500003</v>
      </c>
      <c r="K13" s="80">
        <f>(K14*I14+H14)*'Q.3 Input'!$F$12</f>
        <v>2.8931501629820607E-2</v>
      </c>
      <c r="L13" s="80">
        <f>L14*I14*'Q.3 Input'!$F$12</f>
        <v>0.42292658268176542</v>
      </c>
      <c r="M13" s="80">
        <f>M14*I14*'Q.3 Input'!$F$12+1</f>
        <v>8.3787407112371817</v>
      </c>
      <c r="N13" s="80">
        <f t="shared" si="0"/>
        <v>10.664885100130828</v>
      </c>
      <c r="Q13" s="138"/>
      <c r="R13" s="137"/>
      <c r="S13" s="66"/>
    </row>
    <row r="14" spans="1:20" x14ac:dyDescent="0.35">
      <c r="B14" s="77">
        <f t="shared" si="1"/>
        <v>14</v>
      </c>
      <c r="C14" s="77">
        <f t="shared" si="1"/>
        <v>2025</v>
      </c>
      <c r="D14" s="77">
        <f t="shared" si="1"/>
        <v>43</v>
      </c>
      <c r="E14" s="78">
        <f>'Q.3(i)'!$H$2</f>
        <v>500000</v>
      </c>
      <c r="F14" s="78">
        <f t="shared" si="2"/>
        <v>40</v>
      </c>
      <c r="G14" s="78">
        <f t="shared" si="3"/>
        <v>291000</v>
      </c>
      <c r="H14" s="79">
        <f>VLOOKUP($D14,'Q.3 Input'!$B$6:$C$106,2,0)</f>
        <v>2.1440000000000001E-3</v>
      </c>
      <c r="I14" s="79">
        <f t="shared" si="4"/>
        <v>0.99785599999999997</v>
      </c>
      <c r="J14" s="79">
        <f t="shared" si="5"/>
        <v>0.99408367896891214</v>
      </c>
      <c r="K14" s="80">
        <f>(K15*I15+H15)*'Q.3 Input'!$F$12</f>
        <v>2.8874613916144265E-2</v>
      </c>
      <c r="L14" s="80">
        <f>L15*I15*'Q.3 Input'!$F$12</f>
        <v>0.45350375552132671</v>
      </c>
      <c r="M14" s="80">
        <f>M15*I15*'Q.3 Input'!$F$12+1</f>
        <v>7.9122163528843688</v>
      </c>
      <c r="N14" s="80">
        <f t="shared" si="0"/>
        <v>9.8701397292366124</v>
      </c>
      <c r="Q14" s="138"/>
      <c r="R14" s="137"/>
      <c r="S14" s="66"/>
    </row>
    <row r="15" spans="1:20" x14ac:dyDescent="0.35">
      <c r="B15" s="77">
        <f t="shared" si="1"/>
        <v>15</v>
      </c>
      <c r="C15" s="77">
        <f t="shared" si="1"/>
        <v>2026</v>
      </c>
      <c r="D15" s="77">
        <f t="shared" si="1"/>
        <v>44</v>
      </c>
      <c r="E15" s="78">
        <f>'Q.3(i)'!$H$2</f>
        <v>500000</v>
      </c>
      <c r="F15" s="78">
        <f t="shared" si="2"/>
        <v>40</v>
      </c>
      <c r="G15" s="78">
        <f t="shared" si="3"/>
        <v>311000</v>
      </c>
      <c r="H15" s="79">
        <f>VLOOKUP($D15,'Q.3 Input'!$B$6:$C$106,2,0)</f>
        <v>2.3449999999999999E-3</v>
      </c>
      <c r="I15" s="79">
        <f t="shared" si="4"/>
        <v>0.99765499999999996</v>
      </c>
      <c r="J15" s="79">
        <f t="shared" si="5"/>
        <v>0.99175255274173002</v>
      </c>
      <c r="K15" s="80">
        <f>(K16*I16+H16)*'Q.3 Input'!$F$12</f>
        <v>2.8617945973582415E-2</v>
      </c>
      <c r="L15" s="80">
        <f>L16*I16*'Q.3 Input'!$F$12</f>
        <v>0.48638960202456721</v>
      </c>
      <c r="M15" s="80">
        <f>M16*I16*'Q.3 Input'!$F$12+1</f>
        <v>7.4134560520282813</v>
      </c>
      <c r="N15" s="80">
        <f t="shared" si="0"/>
        <v>9.0603412719810574</v>
      </c>
      <c r="Q15" s="138"/>
      <c r="R15" s="137"/>
      <c r="S15" s="66"/>
    </row>
    <row r="16" spans="1:20" x14ac:dyDescent="0.35">
      <c r="B16" s="77">
        <f t="shared" si="1"/>
        <v>16</v>
      </c>
      <c r="C16" s="77">
        <f t="shared" si="1"/>
        <v>2027</v>
      </c>
      <c r="D16" s="77">
        <f t="shared" si="1"/>
        <v>45</v>
      </c>
      <c r="E16" s="78">
        <f>'Q.3(i)'!$H$2</f>
        <v>500000</v>
      </c>
      <c r="F16" s="78">
        <f t="shared" si="2"/>
        <v>40</v>
      </c>
      <c r="G16" s="78">
        <f t="shared" si="3"/>
        <v>331000</v>
      </c>
      <c r="H16" s="79">
        <f>VLOOKUP($D16,'Q.3 Input'!$B$6:$C$106,2,0)</f>
        <v>2.5790000000000001E-3</v>
      </c>
      <c r="I16" s="79">
        <f t="shared" si="4"/>
        <v>0.997421</v>
      </c>
      <c r="J16" s="79">
        <f t="shared" si="5"/>
        <v>0.98919482290820915</v>
      </c>
      <c r="K16" s="80">
        <f>(K17*I17+H17)*'Q.3 Input'!$F$12</f>
        <v>2.8114710028897712E-2</v>
      </c>
      <c r="L16" s="80">
        <f>L17*I17*'Q.3 Input'!$F$12</f>
        <v>0.52178255136626051</v>
      </c>
      <c r="M16" s="80">
        <f>M17*I17*'Q.3 Input'!$F$12+1</f>
        <v>6.8801418615311496</v>
      </c>
      <c r="N16" s="80">
        <f t="shared" si="0"/>
        <v>8.2351099304341417</v>
      </c>
      <c r="Q16" s="138"/>
      <c r="R16" s="137"/>
      <c r="S16" s="66"/>
    </row>
    <row r="17" spans="2:19" x14ac:dyDescent="0.35">
      <c r="B17" s="77">
        <f t="shared" si="1"/>
        <v>17</v>
      </c>
      <c r="C17" s="77">
        <f t="shared" si="1"/>
        <v>2028</v>
      </c>
      <c r="D17" s="77">
        <f t="shared" si="1"/>
        <v>46</v>
      </c>
      <c r="E17" s="78">
        <f>'Q.3(i)'!$H$2</f>
        <v>500000</v>
      </c>
      <c r="F17" s="78">
        <f t="shared" si="2"/>
        <v>40</v>
      </c>
      <c r="G17" s="78">
        <f t="shared" si="3"/>
        <v>351000</v>
      </c>
      <c r="H17" s="79">
        <f>VLOOKUP($D17,'Q.3 Input'!$B$6:$C$106,2,0)</f>
        <v>2.8509999999999998E-3</v>
      </c>
      <c r="I17" s="79">
        <f t="shared" si="4"/>
        <v>0.99714899999999995</v>
      </c>
      <c r="J17" s="79">
        <f t="shared" si="5"/>
        <v>0.98637462846809776</v>
      </c>
      <c r="K17" s="80">
        <f>(K18*I18+H18)*'Q.3 Input'!$F$12</f>
        <v>2.7309599398806551E-2</v>
      </c>
      <c r="L17" s="80">
        <f>L18*I18*'Q.3 Input'!$F$12</f>
        <v>0.55990361516874487</v>
      </c>
      <c r="M17" s="80">
        <f>M18*I18*'Q.3 Input'!$F$12+1</f>
        <v>6.3097408630388543</v>
      </c>
      <c r="N17" s="80">
        <f t="shared" si="0"/>
        <v>7.3940018474237013</v>
      </c>
      <c r="Q17" s="138"/>
      <c r="R17" s="137"/>
      <c r="S17" s="66"/>
    </row>
    <row r="18" spans="2:19" x14ac:dyDescent="0.35">
      <c r="B18" s="77">
        <f t="shared" si="1"/>
        <v>18</v>
      </c>
      <c r="C18" s="77">
        <f t="shared" si="1"/>
        <v>2029</v>
      </c>
      <c r="D18" s="77">
        <f t="shared" si="1"/>
        <v>47</v>
      </c>
      <c r="E18" s="78">
        <f>'Q.3(i)'!$H$2</f>
        <v>500000</v>
      </c>
      <c r="F18" s="78">
        <f t="shared" si="2"/>
        <v>40</v>
      </c>
      <c r="G18" s="78">
        <f t="shared" si="3"/>
        <v>371000</v>
      </c>
      <c r="H18" s="79">
        <f>VLOOKUP($D18,'Q.3 Input'!$B$6:$C$106,2,0)</f>
        <v>3.1679999999999998E-3</v>
      </c>
      <c r="I18" s="79">
        <f t="shared" si="4"/>
        <v>0.99683200000000005</v>
      </c>
      <c r="J18" s="79">
        <f t="shared" si="5"/>
        <v>0.98324979364511089</v>
      </c>
      <c r="K18" s="80">
        <f>(K19*I19+H19)*'Q.3 Input'!$F$12</f>
        <v>2.6136070427838397E-2</v>
      </c>
      <c r="L18" s="80">
        <f>L19*I19*'Q.3 Input'!$F$12</f>
        <v>0.60100083888815459</v>
      </c>
      <c r="M18" s="80">
        <f>M19*I19*'Q.3 Input'!$F$12+1</f>
        <v>5.6994786718841022</v>
      </c>
      <c r="N18" s="80">
        <f t="shared" si="0"/>
        <v>6.5364999907739714</v>
      </c>
      <c r="Q18" s="138"/>
      <c r="R18" s="137"/>
    </row>
    <row r="19" spans="2:19" x14ac:dyDescent="0.35">
      <c r="B19" s="77">
        <f t="shared" si="1"/>
        <v>19</v>
      </c>
      <c r="C19" s="77">
        <f t="shared" si="1"/>
        <v>2030</v>
      </c>
      <c r="D19" s="77">
        <f t="shared" si="1"/>
        <v>48</v>
      </c>
      <c r="E19" s="78">
        <f>'Q.3(i)'!$H$2</f>
        <v>500000</v>
      </c>
      <c r="F19" s="78">
        <f t="shared" si="2"/>
        <v>40</v>
      </c>
      <c r="G19" s="78">
        <f t="shared" si="3"/>
        <v>391000</v>
      </c>
      <c r="H19" s="79">
        <f>VLOOKUP($D19,'Q.3 Input'!$B$6:$C$106,2,0)</f>
        <v>3.5360000000000001E-3</v>
      </c>
      <c r="I19" s="79">
        <f t="shared" si="4"/>
        <v>0.99646400000000002</v>
      </c>
      <c r="J19" s="79">
        <f t="shared" si="5"/>
        <v>0.97977302237478181</v>
      </c>
      <c r="K19" s="80">
        <f>(K20*I20+H20)*'Q.3 Input'!$F$12</f>
        <v>2.4516284941339658E-2</v>
      </c>
      <c r="L19" s="80">
        <f>L20*I20*'Q.3 Input'!$F$12</f>
        <v>0.6453528653421754</v>
      </c>
      <c r="M19" s="80">
        <f>M20*I20*'Q.3 Input'!$F$12+1</f>
        <v>5.0462858456662651</v>
      </c>
      <c r="N19" s="80">
        <f t="shared" si="0"/>
        <v>5.6619778872647482</v>
      </c>
      <c r="Q19" s="137"/>
      <c r="R19" s="137"/>
    </row>
    <row r="20" spans="2:19" x14ac:dyDescent="0.35">
      <c r="B20" s="77">
        <f t="shared" si="1"/>
        <v>20</v>
      </c>
      <c r="C20" s="77">
        <f t="shared" si="1"/>
        <v>2031</v>
      </c>
      <c r="D20" s="77">
        <f t="shared" si="1"/>
        <v>49</v>
      </c>
      <c r="E20" s="78">
        <f>'Q.3(i)'!$H$2</f>
        <v>500000</v>
      </c>
      <c r="F20" s="78">
        <f t="shared" si="2"/>
        <v>40</v>
      </c>
      <c r="G20" s="78">
        <f t="shared" si="3"/>
        <v>411000</v>
      </c>
      <c r="H20" s="79">
        <f>VLOOKUP($D20,'Q.3 Input'!$B$6:$C$106,2,0)</f>
        <v>3.9579999999999997E-3</v>
      </c>
      <c r="I20" s="79">
        <f t="shared" si="4"/>
        <v>0.99604199999999998</v>
      </c>
      <c r="J20" s="79">
        <f t="shared" si="5"/>
        <v>0.97589508075222242</v>
      </c>
      <c r="K20" s="80">
        <f>(K21*I21+H21)*'Q.3 Input'!$F$12</f>
        <v>2.2362937393436658E-2</v>
      </c>
      <c r="L20" s="80">
        <f>L21*I21*'Q.3 Input'!$F$12</f>
        <v>0.69327153465027358</v>
      </c>
      <c r="M20" s="80">
        <f>M21*I21*'Q.3 Input'!$F$12+1</f>
        <v>4.3467302130461398</v>
      </c>
      <c r="N20" s="80">
        <f t="shared" si="0"/>
        <v>4.7696557635820476</v>
      </c>
      <c r="Q20" s="137"/>
      <c r="R20" s="137"/>
    </row>
    <row r="21" spans="2:19" x14ac:dyDescent="0.35">
      <c r="B21" s="77">
        <f t="shared" si="1"/>
        <v>21</v>
      </c>
      <c r="C21" s="77">
        <f t="shared" si="1"/>
        <v>2032</v>
      </c>
      <c r="D21" s="77">
        <f t="shared" si="1"/>
        <v>50</v>
      </c>
      <c r="E21" s="78">
        <f>'Q.3(i)'!$H$2</f>
        <v>500000</v>
      </c>
      <c r="F21" s="78">
        <f t="shared" si="2"/>
        <v>40</v>
      </c>
      <c r="G21" s="78">
        <f t="shared" si="3"/>
        <v>431000</v>
      </c>
      <c r="H21" s="79">
        <f>VLOOKUP($D21,'Q.3 Input'!$B$6:$C$106,2,0)</f>
        <v>4.4359999999999998E-3</v>
      </c>
      <c r="I21" s="79">
        <f t="shared" si="4"/>
        <v>0.995564</v>
      </c>
      <c r="J21" s="79">
        <f t="shared" si="5"/>
        <v>0.97156601017400557</v>
      </c>
      <c r="K21" s="80">
        <f>(K22*I22+H22)*'Q.3 Input'!$F$12</f>
        <v>1.9579196325878824E-2</v>
      </c>
      <c r="L21" s="80">
        <f>L22*I22*'Q.3 Input'!$F$12</f>
        <v>0.74510583154452426</v>
      </c>
      <c r="M21" s="80">
        <f>M22*I22*'Q.3 Input'!$F$12+1</f>
        <v>3.5969574311238355</v>
      </c>
      <c r="N21" s="80">
        <f t="shared" si="0"/>
        <v>3.8585753708525217</v>
      </c>
      <c r="Q21" s="139"/>
      <c r="R21" s="139"/>
    </row>
    <row r="22" spans="2:19" x14ac:dyDescent="0.35">
      <c r="B22" s="77">
        <f t="shared" si="1"/>
        <v>22</v>
      </c>
      <c r="C22" s="77">
        <f t="shared" si="1"/>
        <v>2033</v>
      </c>
      <c r="D22" s="77">
        <f t="shared" si="1"/>
        <v>51</v>
      </c>
      <c r="E22" s="78">
        <f>'Q.3(i)'!$H$2</f>
        <v>500000</v>
      </c>
      <c r="F22" s="78">
        <f t="shared" si="2"/>
        <v>40</v>
      </c>
      <c r="G22" s="78">
        <f t="shared" si="3"/>
        <v>451000</v>
      </c>
      <c r="H22" s="79">
        <f>VLOOKUP($D22,'Q.3 Input'!$B$6:$C$106,2,0)</f>
        <v>4.9690000000000003E-3</v>
      </c>
      <c r="I22" s="79">
        <f t="shared" si="4"/>
        <v>0.995031</v>
      </c>
      <c r="J22" s="79">
        <f t="shared" si="5"/>
        <v>0.96673829866945094</v>
      </c>
      <c r="K22" s="80">
        <f>(K23*I23+H23)*'Q.3 Input'!$F$12</f>
        <v>1.6060544916379833E-2</v>
      </c>
      <c r="L22" s="80">
        <f>L23*I23*'Q.3 Input'!$F$12</f>
        <v>0.80124462429074172</v>
      </c>
      <c r="M22" s="80">
        <f>M23*I23*'Q.3 Input'!$F$12+1</f>
        <v>2.7926209849768537</v>
      </c>
      <c r="N22" s="80">
        <f t="shared" si="0"/>
        <v>2.9275715284603461</v>
      </c>
      <c r="Q22" s="139"/>
      <c r="R22" s="139"/>
    </row>
    <row r="23" spans="2:19" x14ac:dyDescent="0.35">
      <c r="B23" s="77">
        <f t="shared" si="1"/>
        <v>23</v>
      </c>
      <c r="C23" s="77">
        <f t="shared" si="1"/>
        <v>2034</v>
      </c>
      <c r="D23" s="77">
        <f t="shared" si="1"/>
        <v>52</v>
      </c>
      <c r="E23" s="78">
        <f>'Q.3(i)'!$H$2</f>
        <v>500000</v>
      </c>
      <c r="F23" s="78">
        <f t="shared" si="2"/>
        <v>40</v>
      </c>
      <c r="G23" s="78">
        <f t="shared" si="3"/>
        <v>471000</v>
      </c>
      <c r="H23" s="79">
        <f>VLOOKUP($D23,'Q.3 Input'!$B$6:$C$106,2,0)</f>
        <v>5.5500000000000002E-3</v>
      </c>
      <c r="I23" s="79">
        <f t="shared" si="4"/>
        <v>0.99444999999999995</v>
      </c>
      <c r="J23" s="79">
        <f t="shared" si="5"/>
        <v>0.96137290111183538</v>
      </c>
      <c r="K23" s="80">
        <f>(K24*I24+H24)*'Q.3 Input'!$F$12</f>
        <v>1.1699716487029435E-2</v>
      </c>
      <c r="L23" s="80">
        <f>L24*I24*'Q.3 Input'!$F$12</f>
        <v>0.86211649453576722</v>
      </c>
      <c r="M23" s="80">
        <f>M24*I24*'Q.3 Input'!$F$12+1</f>
        <v>1.9288093457943924</v>
      </c>
      <c r="N23" s="80">
        <f t="shared" si="0"/>
        <v>1.9752498130841123</v>
      </c>
    </row>
    <row r="24" spans="2:19" x14ac:dyDescent="0.35">
      <c r="B24" s="77">
        <f t="shared" si="1"/>
        <v>24</v>
      </c>
      <c r="C24" s="77">
        <f t="shared" si="1"/>
        <v>2035</v>
      </c>
      <c r="D24" s="77">
        <f t="shared" si="1"/>
        <v>53</v>
      </c>
      <c r="E24" s="78">
        <f>'Q.3(i)'!$H$2</f>
        <v>500000</v>
      </c>
      <c r="F24" s="78">
        <f t="shared" si="2"/>
        <v>40</v>
      </c>
      <c r="G24" s="78">
        <f t="shared" si="3"/>
        <v>491000</v>
      </c>
      <c r="H24" s="79">
        <f>VLOOKUP($D24,'Q.3 Input'!$B$6:$C$106,2,0)</f>
        <v>6.1739999999999998E-3</v>
      </c>
      <c r="I24" s="79">
        <f t="shared" si="4"/>
        <v>0.99382599999999999</v>
      </c>
      <c r="J24" s="79">
        <f t="shared" si="5"/>
        <v>0.95543738482037088</v>
      </c>
      <c r="K24" s="80">
        <f>(K25*I25+H25)*'Q.3 Input'!$F$12</f>
        <v>6.3841121495327108E-3</v>
      </c>
      <c r="L24" s="80">
        <f>L25*I25*'Q.3 Input'!$F$12</f>
        <v>0.92819532710280372</v>
      </c>
      <c r="M24" s="80">
        <f>M25*I25*'Q.3 Input'!$F$12+1</f>
        <v>1</v>
      </c>
      <c r="N24" s="80">
        <f t="shared" si="0"/>
        <v>1</v>
      </c>
    </row>
    <row r="25" spans="2:19" x14ac:dyDescent="0.35">
      <c r="B25" s="77">
        <f t="shared" si="1"/>
        <v>25</v>
      </c>
      <c r="C25" s="77">
        <f t="shared" si="1"/>
        <v>2036</v>
      </c>
      <c r="D25" s="77">
        <f t="shared" si="1"/>
        <v>54</v>
      </c>
      <c r="E25" s="78">
        <f>'Q.3(i)'!$H$2</f>
        <v>500000</v>
      </c>
      <c r="F25" s="78">
        <f t="shared" si="2"/>
        <v>40</v>
      </c>
      <c r="G25" s="78">
        <f t="shared" si="3"/>
        <v>511000</v>
      </c>
      <c r="H25" s="79">
        <f>VLOOKUP($D25,'Q.3 Input'!$B$6:$C$106,2,0)</f>
        <v>6.8310000000000003E-3</v>
      </c>
      <c r="I25" s="79">
        <f t="shared" si="4"/>
        <v>0.99316899999999997</v>
      </c>
      <c r="J25" s="79">
        <f t="shared" si="5"/>
        <v>0.94891079204466289</v>
      </c>
      <c r="K25" s="80">
        <v>0</v>
      </c>
      <c r="L25" s="80">
        <v>1</v>
      </c>
      <c r="M25" s="80">
        <v>0</v>
      </c>
      <c r="N25" s="80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G7"/>
  <sheetViews>
    <sheetView zoomScaleNormal="100" workbookViewId="0"/>
  </sheetViews>
  <sheetFormatPr defaultColWidth="8.83203125" defaultRowHeight="14.5" x14ac:dyDescent="0.35"/>
  <cols>
    <col min="1" max="1" width="8.83203125" style="60"/>
    <col min="2" max="2" width="21.1640625" style="60" bestFit="1" customWidth="1"/>
    <col min="3" max="3" width="8.83203125" style="60"/>
    <col min="4" max="4" width="10.4140625" style="60" bestFit="1" customWidth="1"/>
    <col min="5" max="5" width="10" style="60" bestFit="1" customWidth="1"/>
    <col min="6" max="16384" width="8.83203125" style="60"/>
  </cols>
  <sheetData>
    <row r="2" spans="2:7" x14ac:dyDescent="0.35">
      <c r="E2" s="66"/>
      <c r="F2" s="66"/>
      <c r="G2" s="66"/>
    </row>
    <row r="3" spans="2:7" x14ac:dyDescent="0.35">
      <c r="B3" s="60" t="s">
        <v>124</v>
      </c>
      <c r="D3" s="81">
        <f>'Q.3(ii)'!M11*'Q.3(i)'!H3</f>
        <v>138353.00178772988</v>
      </c>
      <c r="E3" s="66"/>
      <c r="F3" s="66"/>
      <c r="G3" s="66"/>
    </row>
    <row r="4" spans="2:7" x14ac:dyDescent="0.35">
      <c r="B4" s="60" t="s">
        <v>125</v>
      </c>
      <c r="D4" s="81">
        <f>'Q.3 Input'!F5*'Q.3(ii)'!N11+'Q.3 Input'!F6*'Q.3(i)'!H3*'Q.3(ii)'!M11</f>
        <v>11660.381092115957</v>
      </c>
      <c r="E4" s="66"/>
      <c r="F4" s="66"/>
      <c r="G4" s="66"/>
    </row>
    <row r="5" spans="2:7" x14ac:dyDescent="0.35">
      <c r="B5" s="60" t="s">
        <v>126</v>
      </c>
      <c r="D5" s="81">
        <f>('Q.3(i)'!H2+'Q.3(i)'!G16)*('Q.3(ii)'!K11+'Q.3(ii)'!L11)</f>
        <v>289908.21797643986</v>
      </c>
      <c r="E5" s="66"/>
      <c r="F5" s="66"/>
      <c r="G5" s="66"/>
    </row>
    <row r="6" spans="2:7" x14ac:dyDescent="0.35">
      <c r="E6" s="66"/>
      <c r="F6" s="66"/>
      <c r="G6" s="66"/>
    </row>
    <row r="7" spans="2:7" x14ac:dyDescent="0.35">
      <c r="E7" s="66"/>
      <c r="F7" s="66"/>
      <c r="G7" s="6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J30"/>
  <sheetViews>
    <sheetView zoomScaleNormal="100" workbookViewId="0"/>
  </sheetViews>
  <sheetFormatPr defaultColWidth="8.83203125" defaultRowHeight="14.5" x14ac:dyDescent="0.35"/>
  <cols>
    <col min="1" max="2" width="8.83203125" style="60"/>
    <col min="3" max="3" width="13.4140625" style="60" bestFit="1" customWidth="1"/>
    <col min="4" max="4" width="12.08203125" style="60" bestFit="1" customWidth="1"/>
    <col min="5" max="8" width="8.83203125" style="60"/>
    <col min="9" max="9" width="15.6640625" style="60" bestFit="1" customWidth="1"/>
    <col min="10" max="16384" width="8.83203125" style="60"/>
  </cols>
  <sheetData>
    <row r="2" spans="2:10" x14ac:dyDescent="0.35">
      <c r="B2" s="83" t="s">
        <v>127</v>
      </c>
      <c r="D2" s="61">
        <v>20000</v>
      </c>
      <c r="F2" s="83" t="s">
        <v>128</v>
      </c>
      <c r="G2" s="84">
        <v>7.1012571893310866E-2</v>
      </c>
    </row>
    <row r="3" spans="2:10" x14ac:dyDescent="0.35">
      <c r="F3" s="83" t="s">
        <v>129</v>
      </c>
      <c r="G3" s="60">
        <f>1/(1+G2)</f>
        <v>0.93369585590598958</v>
      </c>
    </row>
    <row r="4" spans="2:10" x14ac:dyDescent="0.35">
      <c r="B4" s="82" t="s">
        <v>130</v>
      </c>
      <c r="C4" s="82" t="s">
        <v>131</v>
      </c>
      <c r="D4" s="82" t="s">
        <v>132</v>
      </c>
      <c r="F4" s="83"/>
      <c r="I4" s="66"/>
      <c r="J4" s="66"/>
    </row>
    <row r="5" spans="2:10" x14ac:dyDescent="0.35">
      <c r="B5" s="77">
        <v>1</v>
      </c>
      <c r="C5" s="69">
        <f>-'Q.3(i)'!$H$3</f>
        <v>-15000</v>
      </c>
      <c r="D5" s="69">
        <f>C5*$G$3^(B5-1)</f>
        <v>-15000</v>
      </c>
      <c r="F5" s="83" t="s">
        <v>133</v>
      </c>
      <c r="G5" s="73">
        <f>SUM(D5:D30)</f>
        <v>6.2933843582868576E-4</v>
      </c>
      <c r="I5" s="66"/>
      <c r="J5" s="66"/>
    </row>
    <row r="6" spans="2:10" x14ac:dyDescent="0.35">
      <c r="B6" s="77">
        <v>2</v>
      </c>
      <c r="C6" s="69">
        <f>-'Q.3(i)'!$H$3</f>
        <v>-15000</v>
      </c>
      <c r="D6" s="69">
        <f t="shared" ref="D6:D30" si="0">C6*$G$3^(B6-1)</f>
        <v>-14005.437838589844</v>
      </c>
      <c r="I6" s="66"/>
      <c r="J6" s="66"/>
    </row>
    <row r="7" spans="2:10" x14ac:dyDescent="0.35">
      <c r="B7" s="77">
        <v>3</v>
      </c>
      <c r="C7" s="69">
        <f>-'Q.3(i)'!$H$3</f>
        <v>-15000</v>
      </c>
      <c r="D7" s="69">
        <f t="shared" si="0"/>
        <v>-13076.819270040278</v>
      </c>
      <c r="I7" s="66"/>
      <c r="J7" s="66"/>
    </row>
    <row r="8" spans="2:10" x14ac:dyDescent="0.35">
      <c r="B8" s="77">
        <v>4</v>
      </c>
      <c r="C8" s="69">
        <f>-'Q.3(i)'!$H$3</f>
        <v>-15000</v>
      </c>
      <c r="D8" s="69">
        <f t="shared" si="0"/>
        <v>-12209.771960868195</v>
      </c>
      <c r="I8" s="66"/>
      <c r="J8" s="66"/>
    </row>
    <row r="9" spans="2:10" x14ac:dyDescent="0.35">
      <c r="B9" s="77">
        <v>5</v>
      </c>
      <c r="C9" s="69">
        <f>-'Q.3(i)'!$H$3</f>
        <v>-15000</v>
      </c>
      <c r="D9" s="69">
        <f t="shared" si="0"/>
        <v>-11400.213481419782</v>
      </c>
      <c r="I9" s="66"/>
      <c r="J9" s="66"/>
    </row>
    <row r="10" spans="2:10" x14ac:dyDescent="0.35">
      <c r="B10" s="77">
        <v>6</v>
      </c>
      <c r="C10" s="69">
        <f>-'Q.3(i)'!$H$3</f>
        <v>-15000</v>
      </c>
      <c r="D10" s="69">
        <f t="shared" si="0"/>
        <v>-10644.332084045245</v>
      </c>
      <c r="I10" s="66"/>
      <c r="J10" s="66"/>
    </row>
    <row r="11" spans="2:10" x14ac:dyDescent="0.35">
      <c r="B11" s="77">
        <v>7</v>
      </c>
      <c r="C11" s="69">
        <f>-'Q.3(i)'!$H$3</f>
        <v>-15000</v>
      </c>
      <c r="D11" s="69">
        <f t="shared" si="0"/>
        <v>-9938.5687557602123</v>
      </c>
    </row>
    <row r="12" spans="2:10" x14ac:dyDescent="0.35">
      <c r="B12" s="77">
        <v>8</v>
      </c>
      <c r="C12" s="69">
        <f>-'Q.3(i)'!$H$3</f>
        <v>-15000</v>
      </c>
      <c r="D12" s="69">
        <f t="shared" si="0"/>
        <v>-9279.6004608900548</v>
      </c>
    </row>
    <row r="13" spans="2:10" x14ac:dyDescent="0.35">
      <c r="B13" s="77">
        <v>9</v>
      </c>
      <c r="C13" s="69">
        <f>-'Q.3(i)'!$H$3</f>
        <v>-15000</v>
      </c>
      <c r="D13" s="69">
        <f t="shared" si="0"/>
        <v>-8664.3244947963558</v>
      </c>
    </row>
    <row r="14" spans="2:10" x14ac:dyDescent="0.35">
      <c r="B14" s="77">
        <v>10</v>
      </c>
      <c r="C14" s="69">
        <f>-'Q.3(i)'!$H$3</f>
        <v>-15000</v>
      </c>
      <c r="D14" s="69">
        <f t="shared" si="0"/>
        <v>-8089.8438750161158</v>
      </c>
    </row>
    <row r="15" spans="2:10" x14ac:dyDescent="0.35">
      <c r="B15" s="77">
        <v>11</v>
      </c>
      <c r="C15" s="69">
        <f>-'Q.3(i)'!$H$3</f>
        <v>-15000</v>
      </c>
      <c r="D15" s="69">
        <f t="shared" si="0"/>
        <v>-7553.4537010289987</v>
      </c>
    </row>
    <row r="16" spans="2:10" x14ac:dyDescent="0.35">
      <c r="B16" s="77">
        <v>12</v>
      </c>
      <c r="C16" s="69">
        <f>-'Q.3(i)'!$H$3</f>
        <v>-15000</v>
      </c>
      <c r="D16" s="69">
        <f t="shared" si="0"/>
        <v>-7052.628418428536</v>
      </c>
    </row>
    <row r="17" spans="2:4" x14ac:dyDescent="0.35">
      <c r="B17" s="77">
        <v>13</v>
      </c>
      <c r="C17" s="69">
        <f>-'Q.3(i)'!$H$3</f>
        <v>-15000</v>
      </c>
      <c r="D17" s="69">
        <f t="shared" si="0"/>
        <v>-6585.0099275315379</v>
      </c>
    </row>
    <row r="18" spans="2:4" x14ac:dyDescent="0.35">
      <c r="B18" s="77">
        <v>14</v>
      </c>
      <c r="C18" s="69">
        <f>-'Q.3(i)'!$H$3</f>
        <v>-15000</v>
      </c>
      <c r="D18" s="69">
        <f t="shared" si="0"/>
        <v>-6148.3964804359975</v>
      </c>
    </row>
    <row r="19" spans="2:4" x14ac:dyDescent="0.35">
      <c r="B19" s="77">
        <v>15</v>
      </c>
      <c r="C19" s="69">
        <f>-'Q.3(i)'!$H$3</f>
        <v>-15000</v>
      </c>
      <c r="D19" s="69">
        <f t="shared" si="0"/>
        <v>-5740.7323142500636</v>
      </c>
    </row>
    <row r="20" spans="2:4" x14ac:dyDescent="0.35">
      <c r="B20" s="77">
        <v>16</v>
      </c>
      <c r="C20" s="69">
        <f>-'Q.3(i)'!$H$3</f>
        <v>-15000</v>
      </c>
      <c r="D20" s="69">
        <f t="shared" si="0"/>
        <v>-5360.0979716808843</v>
      </c>
    </row>
    <row r="21" spans="2:4" x14ac:dyDescent="0.35">
      <c r="B21" s="77">
        <v>17</v>
      </c>
      <c r="C21" s="69">
        <f>-'Q.3(i)'!$H$3</f>
        <v>-15000</v>
      </c>
      <c r="D21" s="69">
        <f t="shared" si="0"/>
        <v>-5004.7012634085422</v>
      </c>
    </row>
    <row r="22" spans="2:4" x14ac:dyDescent="0.35">
      <c r="B22" s="77">
        <v>18</v>
      </c>
      <c r="C22" s="69">
        <f>-'Q.3(i)'!$H$3</f>
        <v>-15000</v>
      </c>
      <c r="D22" s="69">
        <f t="shared" si="0"/>
        <v>-4672.8688296920263</v>
      </c>
    </row>
    <row r="23" spans="2:4" x14ac:dyDescent="0.35">
      <c r="B23" s="77">
        <v>19</v>
      </c>
      <c r="C23" s="69">
        <f>-'Q.3(i)'!$H$3</f>
        <v>-15000</v>
      </c>
      <c r="D23" s="69">
        <f t="shared" si="0"/>
        <v>-4363.0382614757173</v>
      </c>
    </row>
    <row r="24" spans="2:4" x14ac:dyDescent="0.35">
      <c r="B24" s="77">
        <v>20</v>
      </c>
      <c r="C24" s="69">
        <f>-'Q.3(i)'!$H$3</f>
        <v>-15000</v>
      </c>
      <c r="D24" s="69">
        <f t="shared" si="0"/>
        <v>-4073.7507438991497</v>
      </c>
    </row>
    <row r="25" spans="2:4" x14ac:dyDescent="0.35">
      <c r="B25" s="77">
        <v>21</v>
      </c>
      <c r="C25" s="69">
        <f>-'Q.3(i)'!$H$3</f>
        <v>-15000</v>
      </c>
      <c r="D25" s="69">
        <f t="shared" si="0"/>
        <v>-3803.6441875725791</v>
      </c>
    </row>
    <row r="26" spans="2:4" x14ac:dyDescent="0.35">
      <c r="B26" s="77">
        <v>22</v>
      </c>
      <c r="C26" s="69">
        <f>-'Q.3(i)'!$H$3</f>
        <v>-15000</v>
      </c>
      <c r="D26" s="69">
        <f t="shared" si="0"/>
        <v>-3551.4468152774211</v>
      </c>
    </row>
    <row r="27" spans="2:4" x14ac:dyDescent="0.35">
      <c r="B27" s="77">
        <v>23</v>
      </c>
      <c r="C27" s="69">
        <f>-'Q.3(i)'!$H$3</f>
        <v>-15000</v>
      </c>
      <c r="D27" s="69">
        <f t="shared" si="0"/>
        <v>-3315.9711738950532</v>
      </c>
    </row>
    <row r="28" spans="2:4" x14ac:dyDescent="0.35">
      <c r="B28" s="77">
        <v>24</v>
      </c>
      <c r="C28" s="69">
        <f>-'Q.3(i)'!$H$3</f>
        <v>-15000</v>
      </c>
      <c r="D28" s="69">
        <f t="shared" si="0"/>
        <v>-3096.1085433695303</v>
      </c>
    </row>
    <row r="29" spans="2:4" x14ac:dyDescent="0.35">
      <c r="B29" s="77">
        <v>25</v>
      </c>
      <c r="C29" s="69">
        <f>-'Q.3(i)'!$H$3</f>
        <v>-15000</v>
      </c>
      <c r="D29" s="69">
        <f t="shared" si="0"/>
        <v>-2890.8237163792605</v>
      </c>
    </row>
    <row r="30" spans="2:4" x14ac:dyDescent="0.35">
      <c r="B30" s="77">
        <v>26</v>
      </c>
      <c r="C30" s="69">
        <f>'Q.3(ii)'!E25+'Q.3(ii)'!G25+$D$2</f>
        <v>1031000</v>
      </c>
      <c r="D30" s="69">
        <f t="shared" si="0"/>
        <v>185521.58519908984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20"/>
  <sheetViews>
    <sheetView topLeftCell="A2" zoomScaleNormal="100" workbookViewId="0"/>
  </sheetViews>
  <sheetFormatPr defaultColWidth="7.6640625" defaultRowHeight="13" x14ac:dyDescent="0.3"/>
  <cols>
    <col min="1" max="1" width="7.6640625" style="3"/>
    <col min="2" max="2" width="13.33203125" style="3" bestFit="1" customWidth="1"/>
    <col min="3" max="3" width="8.5" style="3" bestFit="1" customWidth="1"/>
    <col min="4" max="4" width="10" style="3" customWidth="1"/>
    <col min="5" max="16384" width="7.6640625" style="3"/>
  </cols>
  <sheetData>
    <row r="2" spans="1:4" s="2" customFormat="1" ht="19" x14ac:dyDescent="0.4">
      <c r="A2" s="1"/>
    </row>
    <row r="4" spans="1:4" x14ac:dyDescent="0.3">
      <c r="B4" s="4" t="s">
        <v>0</v>
      </c>
      <c r="C4" s="7" t="s">
        <v>1</v>
      </c>
      <c r="D4" s="8" t="s">
        <v>2</v>
      </c>
    </row>
    <row r="5" spans="1:4" x14ac:dyDescent="0.3">
      <c r="B5" s="6">
        <f>'Q.1 Data'!B5</f>
        <v>44562</v>
      </c>
      <c r="C5" s="5">
        <v>173.3</v>
      </c>
      <c r="D5" s="9"/>
    </row>
    <row r="6" spans="1:4" x14ac:dyDescent="0.3">
      <c r="B6" s="6">
        <f>'Q.1 Data'!B6</f>
        <v>44593</v>
      </c>
      <c r="C6" s="5">
        <v>173.8</v>
      </c>
      <c r="D6" s="10"/>
    </row>
    <row r="7" spans="1:4" x14ac:dyDescent="0.3">
      <c r="B7" s="6">
        <f>'Q.1 Data'!B7</f>
        <v>44621</v>
      </c>
      <c r="C7" s="5">
        <v>174.5</v>
      </c>
      <c r="D7" s="10"/>
    </row>
    <row r="8" spans="1:4" x14ac:dyDescent="0.3">
      <c r="B8" s="6">
        <f>'Q.1 Data'!B8</f>
        <v>44652</v>
      </c>
      <c r="C8" s="5">
        <v>175.7</v>
      </c>
      <c r="D8" s="10"/>
    </row>
    <row r="9" spans="1:4" x14ac:dyDescent="0.3">
      <c r="B9" s="6">
        <f>'Q.1 Data'!B9</f>
        <v>44682</v>
      </c>
      <c r="C9" s="5">
        <v>176.2</v>
      </c>
      <c r="D9" s="10"/>
    </row>
    <row r="10" spans="1:4" x14ac:dyDescent="0.3">
      <c r="B10" s="6">
        <f>'Q.1 Data'!B10</f>
        <v>44713</v>
      </c>
      <c r="C10" s="5">
        <v>176.2</v>
      </c>
      <c r="D10" s="10"/>
    </row>
    <row r="11" spans="1:4" x14ac:dyDescent="0.3">
      <c r="B11" s="6">
        <f>'Q.1 Data'!B11</f>
        <v>44743</v>
      </c>
      <c r="C11" s="5">
        <v>175.9</v>
      </c>
      <c r="D11" s="10"/>
    </row>
    <row r="12" spans="1:4" x14ac:dyDescent="0.3">
      <c r="B12" s="6">
        <f>'Q.1 Data'!B12</f>
        <v>44774</v>
      </c>
      <c r="C12" s="5">
        <v>176.4</v>
      </c>
      <c r="D12" s="10"/>
    </row>
    <row r="13" spans="1:4" x14ac:dyDescent="0.3">
      <c r="B13" s="6">
        <f>'Q.1 Data'!B13</f>
        <v>44805</v>
      </c>
      <c r="C13" s="5">
        <v>177.6</v>
      </c>
      <c r="D13" s="10"/>
    </row>
    <row r="14" spans="1:4" x14ac:dyDescent="0.3">
      <c r="B14" s="6">
        <f>'Q.1 Data'!B14</f>
        <v>44835</v>
      </c>
      <c r="C14" s="5">
        <v>177.9</v>
      </c>
      <c r="D14" s="10"/>
    </row>
    <row r="15" spans="1:4" x14ac:dyDescent="0.3">
      <c r="B15" s="6">
        <f>'Q.1 Data'!B15</f>
        <v>44866</v>
      </c>
      <c r="C15" s="5">
        <v>178.2</v>
      </c>
      <c r="D15" s="10"/>
    </row>
    <row r="16" spans="1:4" x14ac:dyDescent="0.3">
      <c r="B16" s="6">
        <f>'Q.1 Data'!B16</f>
        <v>44896</v>
      </c>
      <c r="C16" s="5">
        <v>178.5</v>
      </c>
      <c r="D16" s="10"/>
    </row>
    <row r="17" spans="2:5" x14ac:dyDescent="0.3">
      <c r="B17" s="6">
        <f>'Q.1 Data'!B17</f>
        <v>44927</v>
      </c>
      <c r="C17" s="5">
        <v>178.4</v>
      </c>
      <c r="D17" s="11">
        <f>C17/C5-1</f>
        <v>2.9428736295441293E-2</v>
      </c>
      <c r="E17" s="14"/>
    </row>
    <row r="18" spans="2:5" x14ac:dyDescent="0.3">
      <c r="B18" s="6">
        <f>'Q.1 Data'!B18</f>
        <v>44958</v>
      </c>
      <c r="C18" s="5">
        <v>179.3</v>
      </c>
      <c r="D18" s="11">
        <f t="shared" ref="D18:D81" si="0">C18/C6-1</f>
        <v>3.1645569620253111E-2</v>
      </c>
      <c r="E18" s="14"/>
    </row>
    <row r="19" spans="2:5" x14ac:dyDescent="0.3">
      <c r="B19" s="6">
        <f>'Q.1 Data'!B19</f>
        <v>44986</v>
      </c>
      <c r="C19" s="5">
        <v>179.9</v>
      </c>
      <c r="D19" s="11">
        <f t="shared" si="0"/>
        <v>3.0945558739255086E-2</v>
      </c>
      <c r="E19" s="14"/>
    </row>
    <row r="20" spans="2:5" x14ac:dyDescent="0.3">
      <c r="B20" s="6">
        <f>'Q.1 Data'!B20</f>
        <v>45017</v>
      </c>
      <c r="C20" s="5">
        <v>181.2</v>
      </c>
      <c r="D20" s="11">
        <f t="shared" si="0"/>
        <v>3.1303357996585124E-2</v>
      </c>
      <c r="E20" s="14"/>
    </row>
    <row r="21" spans="2:5" x14ac:dyDescent="0.3">
      <c r="B21" s="6">
        <f>'Q.1 Data'!B21</f>
        <v>45047</v>
      </c>
      <c r="C21" s="5">
        <v>181.5</v>
      </c>
      <c r="D21" s="11">
        <f t="shared" si="0"/>
        <v>3.0079455164585767E-2</v>
      </c>
      <c r="E21" s="14"/>
    </row>
    <row r="22" spans="2:5" x14ac:dyDescent="0.3">
      <c r="B22" s="6">
        <f>'Q.1 Data'!B22</f>
        <v>45078</v>
      </c>
      <c r="C22" s="5">
        <v>181.3</v>
      </c>
      <c r="D22" s="11">
        <f t="shared" si="0"/>
        <v>2.8944381384790052E-2</v>
      </c>
      <c r="E22" s="14"/>
    </row>
    <row r="23" spans="2:5" x14ac:dyDescent="0.3">
      <c r="B23" s="6">
        <f>'Q.1 Data'!B23</f>
        <v>45108</v>
      </c>
      <c r="C23" s="5">
        <v>181.3</v>
      </c>
      <c r="D23" s="11">
        <f t="shared" si="0"/>
        <v>3.0699260943717999E-2</v>
      </c>
      <c r="E23" s="14"/>
    </row>
    <row r="24" spans="2:5" x14ac:dyDescent="0.3">
      <c r="B24" s="6">
        <f>'Q.1 Data'!B24</f>
        <v>45139</v>
      </c>
      <c r="C24" s="5">
        <v>181.6</v>
      </c>
      <c r="D24" s="11">
        <f t="shared" si="0"/>
        <v>2.947845804988658E-2</v>
      </c>
      <c r="E24" s="14"/>
    </row>
    <row r="25" spans="2:5" x14ac:dyDescent="0.3">
      <c r="B25" s="6">
        <f>'Q.1 Data'!B25</f>
        <v>45170</v>
      </c>
      <c r="C25" s="5">
        <v>182.5</v>
      </c>
      <c r="D25" s="11">
        <f t="shared" si="0"/>
        <v>2.7590090090090058E-2</v>
      </c>
      <c r="E25" s="14"/>
    </row>
    <row r="26" spans="2:5" x14ac:dyDescent="0.3">
      <c r="B26" s="6">
        <f>'Q.1 Data'!B26</f>
        <v>45200</v>
      </c>
      <c r="C26" s="5">
        <v>182.6</v>
      </c>
      <c r="D26" s="11">
        <f t="shared" si="0"/>
        <v>2.6419336706014596E-2</v>
      </c>
      <c r="E26" s="14"/>
    </row>
    <row r="27" spans="2:5" x14ac:dyDescent="0.3">
      <c r="B27" s="6">
        <f>'Q.1 Data'!B27</f>
        <v>45231</v>
      </c>
      <c r="C27" s="5">
        <v>182.7</v>
      </c>
      <c r="D27" s="11">
        <f t="shared" si="0"/>
        <v>2.5252525252525304E-2</v>
      </c>
    </row>
    <row r="28" spans="2:5" x14ac:dyDescent="0.3">
      <c r="B28" s="6">
        <f>'Q.1 Data'!B28</f>
        <v>45261</v>
      </c>
      <c r="C28" s="5">
        <v>183.5</v>
      </c>
      <c r="D28" s="11">
        <f t="shared" si="0"/>
        <v>2.8011204481792618E-2</v>
      </c>
    </row>
    <row r="29" spans="2:5" x14ac:dyDescent="0.3">
      <c r="B29" s="6">
        <f>'Q.1 Data'!B29</f>
        <v>45292</v>
      </c>
      <c r="C29" s="5">
        <v>183.1</v>
      </c>
      <c r="D29" s="11">
        <f t="shared" si="0"/>
        <v>2.6345291479820565E-2</v>
      </c>
    </row>
    <row r="30" spans="2:5" x14ac:dyDescent="0.3">
      <c r="B30" s="6">
        <f>'Q.1 Data'!B30</f>
        <v>45323</v>
      </c>
      <c r="C30" s="5">
        <v>183.8</v>
      </c>
      <c r="D30" s="11">
        <f t="shared" si="0"/>
        <v>2.5097601784718426E-2</v>
      </c>
    </row>
    <row r="31" spans="2:5" x14ac:dyDescent="0.3">
      <c r="B31" s="6">
        <f>'Q.1 Data'!B31</f>
        <v>45352</v>
      </c>
      <c r="C31" s="5">
        <v>184.6</v>
      </c>
      <c r="D31" s="11">
        <f t="shared" si="0"/>
        <v>2.6125625347415138E-2</v>
      </c>
    </row>
    <row r="32" spans="2:5" x14ac:dyDescent="0.3">
      <c r="B32" s="6">
        <f>'Q.1 Data'!B32</f>
        <v>45383</v>
      </c>
      <c r="C32" s="5">
        <v>185.7</v>
      </c>
      <c r="D32" s="11">
        <f t="shared" si="0"/>
        <v>2.4834437086092676E-2</v>
      </c>
    </row>
    <row r="33" spans="2:4" x14ac:dyDescent="0.3">
      <c r="B33" s="6">
        <f>'Q.1 Data'!B33</f>
        <v>45413</v>
      </c>
      <c r="C33" s="5">
        <v>186.5</v>
      </c>
      <c r="D33" s="11">
        <f t="shared" si="0"/>
        <v>2.7548209366391241E-2</v>
      </c>
    </row>
    <row r="34" spans="2:4" x14ac:dyDescent="0.3">
      <c r="B34" s="6">
        <f>'Q.1 Data'!B34</f>
        <v>45444</v>
      </c>
      <c r="C34" s="5">
        <v>186.8</v>
      </c>
      <c r="D34" s="11">
        <f t="shared" si="0"/>
        <v>3.0336458907887387E-2</v>
      </c>
    </row>
    <row r="35" spans="2:4" x14ac:dyDescent="0.3">
      <c r="B35" s="6">
        <f>'Q.1 Data'!B35</f>
        <v>45474</v>
      </c>
      <c r="C35" s="5">
        <v>186.8</v>
      </c>
      <c r="D35" s="11">
        <f t="shared" si="0"/>
        <v>3.0336458907887387E-2</v>
      </c>
    </row>
    <row r="36" spans="2:4" x14ac:dyDescent="0.3">
      <c r="B36" s="6">
        <f>'Q.1 Data'!B36</f>
        <v>45505</v>
      </c>
      <c r="C36" s="5">
        <v>187.4</v>
      </c>
      <c r="D36" s="11">
        <f t="shared" si="0"/>
        <v>3.1938325991189398E-2</v>
      </c>
    </row>
    <row r="37" spans="2:4" x14ac:dyDescent="0.3">
      <c r="B37" s="6">
        <f>'Q.1 Data'!B37</f>
        <v>45536</v>
      </c>
      <c r="C37" s="5">
        <v>188.1</v>
      </c>
      <c r="D37" s="11">
        <f t="shared" si="0"/>
        <v>3.0684931506849367E-2</v>
      </c>
    </row>
    <row r="38" spans="2:4" x14ac:dyDescent="0.3">
      <c r="B38" s="6">
        <f>'Q.1 Data'!B38</f>
        <v>45566</v>
      </c>
      <c r="C38" s="5">
        <v>188.6</v>
      </c>
      <c r="D38" s="11">
        <f t="shared" si="0"/>
        <v>3.2858707557502642E-2</v>
      </c>
    </row>
    <row r="39" spans="2:4" x14ac:dyDescent="0.3">
      <c r="B39" s="6">
        <f>'Q.1 Data'!B39</f>
        <v>45597</v>
      </c>
      <c r="C39" s="5">
        <v>189</v>
      </c>
      <c r="D39" s="11">
        <f t="shared" si="0"/>
        <v>3.4482758620689724E-2</v>
      </c>
    </row>
    <row r="40" spans="2:4" x14ac:dyDescent="0.3">
      <c r="B40" s="6">
        <f>'Q.1 Data'!B40</f>
        <v>45627</v>
      </c>
      <c r="C40" s="5">
        <v>189.9</v>
      </c>
      <c r="D40" s="11">
        <f t="shared" si="0"/>
        <v>3.4877384196185357E-2</v>
      </c>
    </row>
    <row r="41" spans="2:4" x14ac:dyDescent="0.3">
      <c r="B41" s="6">
        <f>'Q.1 Data'!B41</f>
        <v>45658</v>
      </c>
      <c r="C41" s="5">
        <v>188.9</v>
      </c>
      <c r="D41" s="11">
        <f t="shared" si="0"/>
        <v>3.1676679410158393E-2</v>
      </c>
    </row>
    <row r="42" spans="2:4" x14ac:dyDescent="0.3">
      <c r="B42" s="6">
        <f>'Q.1 Data'!B42</f>
        <v>45689</v>
      </c>
      <c r="C42" s="5">
        <v>189.6</v>
      </c>
      <c r="D42" s="11">
        <f t="shared" si="0"/>
        <v>3.1556039173014083E-2</v>
      </c>
    </row>
    <row r="43" spans="2:4" x14ac:dyDescent="0.3">
      <c r="B43" s="6">
        <f>'Q.1 Data'!B43</f>
        <v>45717</v>
      </c>
      <c r="C43" s="5">
        <v>190.5</v>
      </c>
      <c r="D43" s="11">
        <f t="shared" si="0"/>
        <v>3.1960996749729187E-2</v>
      </c>
    </row>
    <row r="44" spans="2:4" x14ac:dyDescent="0.3">
      <c r="B44" s="6">
        <f>'Q.1 Data'!B44</f>
        <v>45748</v>
      </c>
      <c r="C44" s="5">
        <v>191.6</v>
      </c>
      <c r="D44" s="11">
        <f t="shared" si="0"/>
        <v>3.1771674744211165E-2</v>
      </c>
    </row>
    <row r="45" spans="2:4" x14ac:dyDescent="0.3">
      <c r="B45" s="6">
        <f>'Q.1 Data'!B45</f>
        <v>45778</v>
      </c>
      <c r="C45" s="5">
        <v>192</v>
      </c>
      <c r="D45" s="11">
        <f t="shared" si="0"/>
        <v>2.9490616621983934E-2</v>
      </c>
    </row>
    <row r="46" spans="2:4" x14ac:dyDescent="0.3">
      <c r="B46" s="6">
        <f>'Q.1 Data'!B46</f>
        <v>45809</v>
      </c>
      <c r="C46" s="5">
        <v>192.2</v>
      </c>
      <c r="D46" s="11">
        <f t="shared" si="0"/>
        <v>2.8907922912205342E-2</v>
      </c>
    </row>
    <row r="47" spans="2:4" x14ac:dyDescent="0.3">
      <c r="B47" s="6">
        <f>'Q.1 Data'!B47</f>
        <v>45839</v>
      </c>
      <c r="C47" s="5">
        <v>192.2</v>
      </c>
      <c r="D47" s="11">
        <f t="shared" si="0"/>
        <v>2.8907922912205342E-2</v>
      </c>
    </row>
    <row r="48" spans="2:4" x14ac:dyDescent="0.3">
      <c r="B48" s="6">
        <f>'Q.1 Data'!B48</f>
        <v>45870</v>
      </c>
      <c r="C48" s="5">
        <v>192.6</v>
      </c>
      <c r="D48" s="11">
        <f t="shared" si="0"/>
        <v>2.7748132337246378E-2</v>
      </c>
    </row>
    <row r="49" spans="2:4" x14ac:dyDescent="0.3">
      <c r="B49" s="6">
        <f>'Q.1 Data'!B49</f>
        <v>45901</v>
      </c>
      <c r="C49" s="5">
        <v>193.1</v>
      </c>
      <c r="D49" s="11">
        <f t="shared" si="0"/>
        <v>2.6581605528974039E-2</v>
      </c>
    </row>
    <row r="50" spans="2:4" x14ac:dyDescent="0.3">
      <c r="B50" s="6">
        <f>'Q.1 Data'!B50</f>
        <v>45931</v>
      </c>
      <c r="C50" s="5">
        <v>193.3</v>
      </c>
      <c r="D50" s="11">
        <f t="shared" si="0"/>
        <v>2.4920466595970359E-2</v>
      </c>
    </row>
    <row r="51" spans="2:4" x14ac:dyDescent="0.3">
      <c r="B51" s="6">
        <f>'Q.1 Data'!B51</f>
        <v>45962</v>
      </c>
      <c r="C51" s="5">
        <v>193.6</v>
      </c>
      <c r="D51" s="11">
        <f t="shared" si="0"/>
        <v>2.4338624338624326E-2</v>
      </c>
    </row>
    <row r="52" spans="2:4" x14ac:dyDescent="0.3">
      <c r="B52" s="6">
        <f>'Q.1 Data'!B52</f>
        <v>45992</v>
      </c>
      <c r="C52" s="5">
        <v>194.1</v>
      </c>
      <c r="D52" s="11">
        <f t="shared" si="0"/>
        <v>2.211690363349117E-2</v>
      </c>
    </row>
    <row r="53" spans="2:4" x14ac:dyDescent="0.3">
      <c r="B53" s="6">
        <f>'Q.1 Data'!B53</f>
        <v>46023</v>
      </c>
      <c r="C53" s="5">
        <v>193.4</v>
      </c>
      <c r="D53" s="11">
        <f t="shared" si="0"/>
        <v>2.3822128110111196E-2</v>
      </c>
    </row>
    <row r="54" spans="2:4" x14ac:dyDescent="0.3">
      <c r="B54" s="6">
        <f>'Q.1 Data'!B54</f>
        <v>46054</v>
      </c>
      <c r="C54" s="5">
        <v>194.2</v>
      </c>
      <c r="D54" s="11">
        <f t="shared" si="0"/>
        <v>2.4261603375527407E-2</v>
      </c>
    </row>
    <row r="55" spans="2:4" x14ac:dyDescent="0.3">
      <c r="B55" s="6">
        <f>'Q.1 Data'!B55</f>
        <v>46082</v>
      </c>
      <c r="C55" s="5">
        <v>195</v>
      </c>
      <c r="D55" s="11">
        <f t="shared" si="0"/>
        <v>2.3622047244094446E-2</v>
      </c>
    </row>
    <row r="56" spans="2:4" x14ac:dyDescent="0.3">
      <c r="B56" s="6">
        <f>'Q.1 Data'!B56</f>
        <v>46113</v>
      </c>
      <c r="C56" s="5">
        <v>196.5</v>
      </c>
      <c r="D56" s="11">
        <f t="shared" si="0"/>
        <v>2.5574112734864318E-2</v>
      </c>
    </row>
    <row r="57" spans="2:4" x14ac:dyDescent="0.3">
      <c r="B57" s="6">
        <f>'Q.1 Data'!B57</f>
        <v>46143</v>
      </c>
      <c r="C57" s="5">
        <v>197.7</v>
      </c>
      <c r="D57" s="11">
        <f t="shared" si="0"/>
        <v>2.9687499999999867E-2</v>
      </c>
    </row>
    <row r="58" spans="2:4" x14ac:dyDescent="0.3">
      <c r="B58" s="6">
        <f>'Q.1 Data'!B58</f>
        <v>46174</v>
      </c>
      <c r="C58" s="5">
        <v>198.5</v>
      </c>
      <c r="D58" s="11">
        <f t="shared" si="0"/>
        <v>3.2778355879292453E-2</v>
      </c>
    </row>
    <row r="59" spans="2:4" x14ac:dyDescent="0.3">
      <c r="B59" s="6">
        <f>'Q.1 Data'!B59</f>
        <v>46204</v>
      </c>
      <c r="C59" s="5">
        <v>198.5</v>
      </c>
      <c r="D59" s="11">
        <f t="shared" si="0"/>
        <v>3.2778355879292453E-2</v>
      </c>
    </row>
    <row r="60" spans="2:4" x14ac:dyDescent="0.3">
      <c r="B60" s="6">
        <f>'Q.1 Data'!B60</f>
        <v>46235</v>
      </c>
      <c r="C60" s="5">
        <v>199.2</v>
      </c>
      <c r="D60" s="11">
        <f t="shared" si="0"/>
        <v>3.4267912772585563E-2</v>
      </c>
    </row>
    <row r="61" spans="2:4" x14ac:dyDescent="0.3">
      <c r="B61" s="6">
        <f>'Q.1 Data'!B61</f>
        <v>46266</v>
      </c>
      <c r="C61" s="5">
        <v>200.1</v>
      </c>
      <c r="D61" s="11">
        <f t="shared" si="0"/>
        <v>3.6250647332987995E-2</v>
      </c>
    </row>
    <row r="62" spans="2:4" x14ac:dyDescent="0.3">
      <c r="B62" s="6">
        <f>'Q.1 Data'!B62</f>
        <v>46296</v>
      </c>
      <c r="C62" s="5">
        <v>200.4</v>
      </c>
      <c r="D62" s="11">
        <f t="shared" si="0"/>
        <v>3.6730470770822476E-2</v>
      </c>
    </row>
    <row r="63" spans="2:4" x14ac:dyDescent="0.3">
      <c r="B63" s="6">
        <f>'Q.1 Data'!B63</f>
        <v>46327</v>
      </c>
      <c r="C63" s="5">
        <v>201.1</v>
      </c>
      <c r="D63" s="11">
        <f t="shared" si="0"/>
        <v>3.8739669421487655E-2</v>
      </c>
    </row>
    <row r="64" spans="2:4" x14ac:dyDescent="0.3">
      <c r="B64" s="6">
        <f>'Q.1 Data'!B64</f>
        <v>46357</v>
      </c>
      <c r="C64" s="5">
        <v>202.7</v>
      </c>
      <c r="D64" s="11">
        <f t="shared" si="0"/>
        <v>4.4307058217413653E-2</v>
      </c>
    </row>
    <row r="65" spans="2:4" x14ac:dyDescent="0.3">
      <c r="B65" s="6">
        <f>'Q.1 Data'!B65</f>
        <v>46388</v>
      </c>
      <c r="C65" s="5">
        <v>201.6</v>
      </c>
      <c r="D65" s="11">
        <f t="shared" si="0"/>
        <v>4.2399172699069121E-2</v>
      </c>
    </row>
    <row r="66" spans="2:4" x14ac:dyDescent="0.3">
      <c r="B66" s="6">
        <f>'Q.1 Data'!B66</f>
        <v>46419</v>
      </c>
      <c r="C66" s="5">
        <v>203.1</v>
      </c>
      <c r="D66" s="11">
        <f t="shared" si="0"/>
        <v>4.5829042224510896E-2</v>
      </c>
    </row>
    <row r="67" spans="2:4" x14ac:dyDescent="0.3">
      <c r="B67" s="6">
        <f>'Q.1 Data'!B67</f>
        <v>46447</v>
      </c>
      <c r="C67" s="5">
        <v>204.4</v>
      </c>
      <c r="D67" s="11">
        <f t="shared" si="0"/>
        <v>4.8205128205128345E-2</v>
      </c>
    </row>
    <row r="68" spans="2:4" x14ac:dyDescent="0.3">
      <c r="B68" s="6">
        <f>'Q.1 Data'!B68</f>
        <v>46478</v>
      </c>
      <c r="C68" s="5">
        <v>205.4</v>
      </c>
      <c r="D68" s="11">
        <f t="shared" si="0"/>
        <v>4.5292620865140076E-2</v>
      </c>
    </row>
    <row r="69" spans="2:4" x14ac:dyDescent="0.3">
      <c r="B69" s="6">
        <f>'Q.1 Data'!B69</f>
        <v>46508</v>
      </c>
      <c r="C69" s="5">
        <v>206.2</v>
      </c>
      <c r="D69" s="11">
        <f t="shared" si="0"/>
        <v>4.2994436014162973E-2</v>
      </c>
    </row>
    <row r="70" spans="2:4" x14ac:dyDescent="0.3">
      <c r="B70" s="6">
        <f>'Q.1 Data'!B70</f>
        <v>46539</v>
      </c>
      <c r="C70" s="5">
        <v>207.3</v>
      </c>
      <c r="D70" s="11">
        <f t="shared" si="0"/>
        <v>4.4332493702770925E-2</v>
      </c>
    </row>
    <row r="71" spans="2:4" x14ac:dyDescent="0.3">
      <c r="B71" s="6">
        <f>'Q.1 Data'!B71</f>
        <v>46569</v>
      </c>
      <c r="C71" s="5">
        <v>206.1</v>
      </c>
      <c r="D71" s="11">
        <f t="shared" si="0"/>
        <v>3.8287153652392991E-2</v>
      </c>
    </row>
    <row r="72" spans="2:4" x14ac:dyDescent="0.3">
      <c r="B72" s="6">
        <f>'Q.1 Data'!B72</f>
        <v>46600</v>
      </c>
      <c r="C72" s="5">
        <v>207.3</v>
      </c>
      <c r="D72" s="11">
        <f t="shared" si="0"/>
        <v>4.06626506024097E-2</v>
      </c>
    </row>
    <row r="73" spans="2:4" x14ac:dyDescent="0.3">
      <c r="B73" s="6">
        <f>'Q.1 Data'!B73</f>
        <v>46631</v>
      </c>
      <c r="C73" s="5">
        <v>208</v>
      </c>
      <c r="D73" s="11">
        <f t="shared" si="0"/>
        <v>3.9480259870064982E-2</v>
      </c>
    </row>
    <row r="74" spans="2:4" x14ac:dyDescent="0.3">
      <c r="B74" s="6">
        <f>'Q.1 Data'!B74</f>
        <v>46661</v>
      </c>
      <c r="C74" s="5">
        <v>208.9</v>
      </c>
      <c r="D74" s="11">
        <f t="shared" si="0"/>
        <v>4.2415169660678709E-2</v>
      </c>
    </row>
    <row r="75" spans="2:4" x14ac:dyDescent="0.3">
      <c r="B75" s="6">
        <f>'Q.1 Data'!B75</f>
        <v>46692</v>
      </c>
      <c r="C75" s="5">
        <v>209.7</v>
      </c>
      <c r="D75" s="11">
        <f t="shared" si="0"/>
        <v>4.2764793635007514E-2</v>
      </c>
    </row>
    <row r="76" spans="2:4" x14ac:dyDescent="0.3">
      <c r="B76" s="6">
        <f>'Q.1 Data'!B76</f>
        <v>46722</v>
      </c>
      <c r="C76" s="5">
        <v>210.9</v>
      </c>
      <c r="D76" s="11">
        <f t="shared" si="0"/>
        <v>4.045387271830303E-2</v>
      </c>
    </row>
    <row r="77" spans="2:4" x14ac:dyDescent="0.3">
      <c r="B77" s="6">
        <f>'Q.1 Data'!B77</f>
        <v>46753</v>
      </c>
      <c r="C77" s="5">
        <v>209.8</v>
      </c>
      <c r="D77" s="11">
        <f t="shared" si="0"/>
        <v>4.0674603174603252E-2</v>
      </c>
    </row>
    <row r="78" spans="2:4" x14ac:dyDescent="0.3">
      <c r="B78" s="6">
        <f>'Q.1 Data'!B78</f>
        <v>46784</v>
      </c>
      <c r="C78" s="5">
        <v>211.4</v>
      </c>
      <c r="D78" s="11">
        <f t="shared" si="0"/>
        <v>4.086656819300849E-2</v>
      </c>
    </row>
    <row r="79" spans="2:4" x14ac:dyDescent="0.3">
      <c r="B79" s="6">
        <f>'Q.1 Data'!B79</f>
        <v>46813</v>
      </c>
      <c r="C79" s="5">
        <v>212.1</v>
      </c>
      <c r="D79" s="11">
        <f t="shared" si="0"/>
        <v>3.7671232876712368E-2</v>
      </c>
    </row>
    <row r="80" spans="2:4" x14ac:dyDescent="0.3">
      <c r="B80" s="6">
        <f>'Q.1 Data'!B80</f>
        <v>46844</v>
      </c>
      <c r="C80" s="5">
        <v>214</v>
      </c>
      <c r="D80" s="11">
        <f t="shared" si="0"/>
        <v>4.1869522882181043E-2</v>
      </c>
    </row>
    <row r="81" spans="2:4" x14ac:dyDescent="0.3">
      <c r="B81" s="6">
        <f>'Q.1 Data'!B81</f>
        <v>46874</v>
      </c>
      <c r="C81" s="5">
        <v>215.1</v>
      </c>
      <c r="D81" s="11">
        <f t="shared" si="0"/>
        <v>4.3161978661493627E-2</v>
      </c>
    </row>
    <row r="82" spans="2:4" x14ac:dyDescent="0.3">
      <c r="B82" s="6">
        <f>'Q.1 Data'!B82</f>
        <v>46905</v>
      </c>
      <c r="C82" s="5">
        <v>216.8</v>
      </c>
      <c r="D82" s="11">
        <f t="shared" ref="D82:D145" si="1">C82/C70-1</f>
        <v>4.5827303424987864E-2</v>
      </c>
    </row>
    <row r="83" spans="2:4" x14ac:dyDescent="0.3">
      <c r="B83" s="6">
        <f>'Q.1 Data'!B83</f>
        <v>46935</v>
      </c>
      <c r="C83" s="5">
        <v>216.5</v>
      </c>
      <c r="D83" s="11">
        <f t="shared" si="1"/>
        <v>5.0460941290635608E-2</v>
      </c>
    </row>
    <row r="84" spans="2:4" x14ac:dyDescent="0.3">
      <c r="B84" s="6">
        <f>'Q.1 Data'!B84</f>
        <v>46966</v>
      </c>
      <c r="C84" s="5">
        <v>217.2</v>
      </c>
      <c r="D84" s="11">
        <f t="shared" si="1"/>
        <v>4.7756874095513657E-2</v>
      </c>
    </row>
    <row r="85" spans="2:4" x14ac:dyDescent="0.3">
      <c r="B85" s="6">
        <f>'Q.1 Data'!B85</f>
        <v>46997</v>
      </c>
      <c r="C85" s="5">
        <v>218.4</v>
      </c>
      <c r="D85" s="11">
        <f t="shared" si="1"/>
        <v>5.0000000000000044E-2</v>
      </c>
    </row>
    <row r="86" spans="2:4" x14ac:dyDescent="0.3">
      <c r="B86" s="6">
        <f>'Q.1 Data'!B86</f>
        <v>47027</v>
      </c>
      <c r="C86" s="5">
        <v>217.7</v>
      </c>
      <c r="D86" s="11">
        <f t="shared" si="1"/>
        <v>4.212541886069876E-2</v>
      </c>
    </row>
    <row r="87" spans="2:4" x14ac:dyDescent="0.3">
      <c r="B87" s="6">
        <f>'Q.1 Data'!B87</f>
        <v>47058</v>
      </c>
      <c r="C87" s="5">
        <v>216</v>
      </c>
      <c r="D87" s="11">
        <f t="shared" si="1"/>
        <v>3.0042918454935785E-2</v>
      </c>
    </row>
    <row r="88" spans="2:4" x14ac:dyDescent="0.3">
      <c r="B88" s="6">
        <f>'Q.1 Data'!B88</f>
        <v>47088</v>
      </c>
      <c r="C88" s="5">
        <v>212.9</v>
      </c>
      <c r="D88" s="11">
        <f t="shared" si="1"/>
        <v>9.4831673779041115E-3</v>
      </c>
    </row>
    <row r="89" spans="2:4" x14ac:dyDescent="0.3">
      <c r="B89" s="6">
        <f>'Q.1 Data'!B89</f>
        <v>47119</v>
      </c>
      <c r="C89" s="5">
        <v>210.1</v>
      </c>
      <c r="D89" s="11">
        <f t="shared" si="1"/>
        <v>1.4299332697806921E-3</v>
      </c>
    </row>
    <row r="90" spans="2:4" x14ac:dyDescent="0.3">
      <c r="B90" s="6">
        <f>'Q.1 Data'!B90</f>
        <v>47150</v>
      </c>
      <c r="C90" s="5">
        <v>211.4</v>
      </c>
      <c r="D90" s="11">
        <f t="shared" si="1"/>
        <v>0</v>
      </c>
    </row>
    <row r="91" spans="2:4" x14ac:dyDescent="0.3">
      <c r="B91" s="6">
        <f>'Q.1 Data'!B91</f>
        <v>47178</v>
      </c>
      <c r="C91" s="5">
        <v>211.3</v>
      </c>
      <c r="D91" s="11">
        <f t="shared" si="1"/>
        <v>-3.771805752003643E-3</v>
      </c>
    </row>
    <row r="92" spans="2:4" x14ac:dyDescent="0.3">
      <c r="B92" s="6">
        <f>'Q.1 Data'!B92</f>
        <v>47209</v>
      </c>
      <c r="C92" s="5">
        <v>211.5</v>
      </c>
      <c r="D92" s="11">
        <f t="shared" si="1"/>
        <v>-1.1682242990654235E-2</v>
      </c>
    </row>
    <row r="93" spans="2:4" x14ac:dyDescent="0.3">
      <c r="B93" s="6">
        <f>'Q.1 Data'!B93</f>
        <v>47239</v>
      </c>
      <c r="C93" s="5">
        <v>212.8</v>
      </c>
      <c r="D93" s="11">
        <f t="shared" si="1"/>
        <v>-1.0692701069270005E-2</v>
      </c>
    </row>
    <row r="94" spans="2:4" x14ac:dyDescent="0.3">
      <c r="B94" s="6">
        <f>'Q.1 Data'!B94</f>
        <v>47270</v>
      </c>
      <c r="C94" s="5">
        <v>213.4</v>
      </c>
      <c r="D94" s="11">
        <f t="shared" si="1"/>
        <v>-1.5682656826568331E-2</v>
      </c>
    </row>
    <row r="95" spans="2:4" x14ac:dyDescent="0.3">
      <c r="B95" s="6">
        <f>'Q.1 Data'!B95</f>
        <v>47300</v>
      </c>
      <c r="C95" s="5">
        <v>213.4</v>
      </c>
      <c r="D95" s="11">
        <f t="shared" si="1"/>
        <v>-1.4318706697459604E-2</v>
      </c>
    </row>
    <row r="96" spans="2:4" x14ac:dyDescent="0.3">
      <c r="B96" s="6">
        <f>'Q.1 Data'!B96</f>
        <v>47331</v>
      </c>
      <c r="C96" s="5">
        <v>214.4</v>
      </c>
      <c r="D96" s="11">
        <f t="shared" si="1"/>
        <v>-1.2891344383057057E-2</v>
      </c>
    </row>
    <row r="97" spans="2:4" x14ac:dyDescent="0.3">
      <c r="B97" s="6">
        <f>'Q.1 Data'!B97</f>
        <v>47362</v>
      </c>
      <c r="C97" s="5">
        <v>215.3</v>
      </c>
      <c r="D97" s="11">
        <f t="shared" si="1"/>
        <v>-1.4194139194139144E-2</v>
      </c>
    </row>
    <row r="98" spans="2:4" x14ac:dyDescent="0.3">
      <c r="B98" s="6">
        <f>'Q.1 Data'!B98</f>
        <v>47392</v>
      </c>
      <c r="C98" s="5">
        <v>216</v>
      </c>
      <c r="D98" s="11">
        <f t="shared" si="1"/>
        <v>-7.8089113458887915E-3</v>
      </c>
    </row>
    <row r="99" spans="2:4" x14ac:dyDescent="0.3">
      <c r="B99" s="6">
        <f>'Q.1 Data'!B99</f>
        <v>47423</v>
      </c>
      <c r="C99" s="5">
        <v>216.6</v>
      </c>
      <c r="D99" s="11">
        <f t="shared" si="1"/>
        <v>2.7777777777777679E-3</v>
      </c>
    </row>
    <row r="100" spans="2:4" x14ac:dyDescent="0.3">
      <c r="B100" s="6">
        <f>'Q.1 Data'!B100</f>
        <v>47453</v>
      </c>
      <c r="C100" s="5">
        <v>218</v>
      </c>
      <c r="D100" s="11">
        <f t="shared" si="1"/>
        <v>2.395490840770309E-2</v>
      </c>
    </row>
    <row r="101" spans="2:4" x14ac:dyDescent="0.3">
      <c r="B101" s="6">
        <f>'Q.1 Data'!B101</f>
        <v>47484</v>
      </c>
      <c r="C101" s="5">
        <v>217.9</v>
      </c>
      <c r="D101" s="11">
        <f t="shared" si="1"/>
        <v>3.712517848643504E-2</v>
      </c>
    </row>
    <row r="102" spans="2:4" x14ac:dyDescent="0.3">
      <c r="B102" s="6">
        <f>'Q.1 Data'!B102</f>
        <v>47515</v>
      </c>
      <c r="C102" s="5">
        <v>219.2</v>
      </c>
      <c r="D102" s="11">
        <f t="shared" si="1"/>
        <v>3.6896877956480445E-2</v>
      </c>
    </row>
    <row r="103" spans="2:4" x14ac:dyDescent="0.3">
      <c r="B103" s="6">
        <f>'Q.1 Data'!B103</f>
        <v>47543</v>
      </c>
      <c r="C103" s="5">
        <v>220.7</v>
      </c>
      <c r="D103" s="11">
        <f t="shared" si="1"/>
        <v>4.4486512068149464E-2</v>
      </c>
    </row>
    <row r="104" spans="2:4" x14ac:dyDescent="0.3">
      <c r="B104" s="6">
        <f>'Q.1 Data'!B104</f>
        <v>47574</v>
      </c>
      <c r="C104" s="5">
        <v>222.8</v>
      </c>
      <c r="D104" s="11">
        <f t="shared" si="1"/>
        <v>5.3427895981087437E-2</v>
      </c>
    </row>
    <row r="105" spans="2:4" x14ac:dyDescent="0.3">
      <c r="B105" s="6">
        <f>'Q.1 Data'!B105</f>
        <v>47604</v>
      </c>
      <c r="C105" s="5">
        <v>223.6</v>
      </c>
      <c r="D105" s="11">
        <f t="shared" si="1"/>
        <v>5.0751879699248104E-2</v>
      </c>
    </row>
    <row r="106" spans="2:4" x14ac:dyDescent="0.3">
      <c r="B106" s="6">
        <f>'Q.1 Data'!B106</f>
        <v>47635</v>
      </c>
      <c r="C106" s="5">
        <v>224.1</v>
      </c>
      <c r="D106" s="11">
        <f t="shared" si="1"/>
        <v>5.0140581068416124E-2</v>
      </c>
    </row>
    <row r="107" spans="2:4" x14ac:dyDescent="0.3">
      <c r="B107" s="6">
        <f>'Q.1 Data'!B107</f>
        <v>47665</v>
      </c>
      <c r="C107" s="5">
        <v>223.6</v>
      </c>
      <c r="D107" s="11">
        <f t="shared" si="1"/>
        <v>4.7797563261480658E-2</v>
      </c>
    </row>
    <row r="108" spans="2:4" x14ac:dyDescent="0.3">
      <c r="B108" s="6">
        <f>'Q.1 Data'!B108</f>
        <v>47696</v>
      </c>
      <c r="C108" s="5">
        <v>224.5</v>
      </c>
      <c r="D108" s="11">
        <f t="shared" si="1"/>
        <v>4.710820895522394E-2</v>
      </c>
    </row>
    <row r="109" spans="2:4" x14ac:dyDescent="0.3">
      <c r="B109" s="6">
        <f>'Q.1 Data'!B109</f>
        <v>47727</v>
      </c>
      <c r="C109" s="5">
        <v>225.3</v>
      </c>
      <c r="D109" s="11">
        <f t="shared" si="1"/>
        <v>4.644681839294007E-2</v>
      </c>
    </row>
    <row r="110" spans="2:4" x14ac:dyDescent="0.3">
      <c r="B110" s="6">
        <f>'Q.1 Data'!B110</f>
        <v>47757</v>
      </c>
      <c r="C110" s="5">
        <v>225.8</v>
      </c>
      <c r="D110" s="11">
        <f t="shared" si="1"/>
        <v>4.5370370370370505E-2</v>
      </c>
    </row>
    <row r="111" spans="2:4" x14ac:dyDescent="0.3">
      <c r="B111" s="6">
        <f>'Q.1 Data'!B111</f>
        <v>47788</v>
      </c>
      <c r="C111" s="5">
        <v>226.8</v>
      </c>
      <c r="D111" s="11">
        <f t="shared" si="1"/>
        <v>4.7091412742382266E-2</v>
      </c>
    </row>
    <row r="112" spans="2:4" x14ac:dyDescent="0.3">
      <c r="B112" s="6">
        <f>'Q.1 Data'!B112</f>
        <v>47818</v>
      </c>
      <c r="C112" s="5">
        <v>228.4</v>
      </c>
      <c r="D112" s="11">
        <f t="shared" si="1"/>
        <v>4.7706422018348738E-2</v>
      </c>
    </row>
    <row r="113" spans="2:4" x14ac:dyDescent="0.3">
      <c r="B113" s="6">
        <f>'Q.1 Data'!B113</f>
        <v>47849</v>
      </c>
      <c r="C113" s="5">
        <v>229</v>
      </c>
      <c r="D113" s="11">
        <f t="shared" si="1"/>
        <v>5.0940798531436515E-2</v>
      </c>
    </row>
    <row r="114" spans="2:4" x14ac:dyDescent="0.3">
      <c r="B114" s="6">
        <f>'Q.1 Data'!B114</f>
        <v>47880</v>
      </c>
      <c r="C114" s="5">
        <v>231.3</v>
      </c>
      <c r="D114" s="11">
        <f t="shared" si="1"/>
        <v>5.5200729927007419E-2</v>
      </c>
    </row>
    <row r="115" spans="2:4" x14ac:dyDescent="0.3">
      <c r="B115" s="6">
        <f>'Q.1 Data'!B115</f>
        <v>47908</v>
      </c>
      <c r="C115" s="5">
        <v>232.5</v>
      </c>
      <c r="D115" s="11">
        <f t="shared" si="1"/>
        <v>5.3466243769823452E-2</v>
      </c>
    </row>
    <row r="116" spans="2:4" x14ac:dyDescent="0.3">
      <c r="B116" s="6">
        <f>'Q.1 Data'!B116</f>
        <v>47939</v>
      </c>
      <c r="C116" s="5">
        <v>234.4</v>
      </c>
      <c r="D116" s="11">
        <f t="shared" si="1"/>
        <v>5.2064631956912022E-2</v>
      </c>
    </row>
    <row r="117" spans="2:4" x14ac:dyDescent="0.3">
      <c r="B117" s="6">
        <f>'Q.1 Data'!B117</f>
        <v>47969</v>
      </c>
      <c r="C117" s="5">
        <v>235.2</v>
      </c>
      <c r="D117" s="11">
        <f t="shared" si="1"/>
        <v>5.1878354203935606E-2</v>
      </c>
    </row>
    <row r="118" spans="2:4" x14ac:dyDescent="0.3">
      <c r="B118" s="6">
        <f>'Q.1 Data'!B118</f>
        <v>48000</v>
      </c>
      <c r="C118" s="5">
        <v>235.2</v>
      </c>
      <c r="D118" s="11">
        <f t="shared" si="1"/>
        <v>4.9531459170013337E-2</v>
      </c>
    </row>
    <row r="119" spans="2:4" x14ac:dyDescent="0.3">
      <c r="B119" s="6">
        <f>'Q.1 Data'!B119</f>
        <v>48030</v>
      </c>
      <c r="C119" s="5">
        <v>234.7</v>
      </c>
      <c r="D119" s="11">
        <f t="shared" si="1"/>
        <v>4.964221824686943E-2</v>
      </c>
    </row>
    <row r="120" spans="2:4" x14ac:dyDescent="0.3">
      <c r="B120" s="6">
        <f>'Q.1 Data'!B120</f>
        <v>48061</v>
      </c>
      <c r="C120" s="5">
        <v>236.1</v>
      </c>
      <c r="D120" s="11">
        <f t="shared" si="1"/>
        <v>5.167037861915369E-2</v>
      </c>
    </row>
    <row r="121" spans="2:4" x14ac:dyDescent="0.3">
      <c r="B121" s="6">
        <f>'Q.1 Data'!B121</f>
        <v>48092</v>
      </c>
      <c r="C121" s="5">
        <v>237.9</v>
      </c>
      <c r="D121" s="11">
        <f t="shared" si="1"/>
        <v>5.5925432756324778E-2</v>
      </c>
    </row>
    <row r="122" spans="2:4" x14ac:dyDescent="0.3">
      <c r="B122" s="6">
        <f>'Q.1 Data'!B122</f>
        <v>48122</v>
      </c>
      <c r="C122" s="5">
        <v>238</v>
      </c>
      <c r="D122" s="11">
        <f t="shared" si="1"/>
        <v>5.4030115146147084E-2</v>
      </c>
    </row>
    <row r="123" spans="2:4" x14ac:dyDescent="0.3">
      <c r="B123" s="6">
        <f>'Q.1 Data'!B123</f>
        <v>48153</v>
      </c>
      <c r="C123" s="5">
        <v>238.5</v>
      </c>
      <c r="D123" s="11">
        <f t="shared" si="1"/>
        <v>5.1587301587301626E-2</v>
      </c>
    </row>
    <row r="124" spans="2:4" x14ac:dyDescent="0.3">
      <c r="B124" s="6">
        <f>'Q.1 Data'!B124</f>
        <v>48183</v>
      </c>
      <c r="C124" s="5">
        <v>239.4</v>
      </c>
      <c r="D124" s="11">
        <f t="shared" si="1"/>
        <v>4.8161120840630511E-2</v>
      </c>
    </row>
    <row r="125" spans="2:4" x14ac:dyDescent="0.3">
      <c r="B125" s="6">
        <f>'Q.1 Data'!B125</f>
        <v>48214</v>
      </c>
      <c r="C125" s="5">
        <v>238</v>
      </c>
      <c r="D125" s="11">
        <f t="shared" si="1"/>
        <v>3.9301310043668103E-2</v>
      </c>
    </row>
    <row r="126" spans="2:4" x14ac:dyDescent="0.3">
      <c r="B126" s="6">
        <f>'Q.1 Data'!B126</f>
        <v>48245</v>
      </c>
      <c r="C126" s="5">
        <v>239.9</v>
      </c>
      <c r="D126" s="11">
        <f t="shared" si="1"/>
        <v>3.7181150021616816E-2</v>
      </c>
    </row>
    <row r="127" spans="2:4" x14ac:dyDescent="0.3">
      <c r="B127" s="6">
        <f>'Q.1 Data'!B127</f>
        <v>48274</v>
      </c>
      <c r="C127" s="5">
        <v>240.8</v>
      </c>
      <c r="D127" s="11">
        <f t="shared" si="1"/>
        <v>3.5698924731182746E-2</v>
      </c>
    </row>
    <row r="128" spans="2:4" x14ac:dyDescent="0.3">
      <c r="B128" s="6">
        <f>'Q.1 Data'!B128</f>
        <v>48305</v>
      </c>
      <c r="C128" s="5">
        <v>242.5</v>
      </c>
      <c r="D128" s="11">
        <f t="shared" si="1"/>
        <v>3.4556313993173937E-2</v>
      </c>
    </row>
    <row r="129" spans="2:4" x14ac:dyDescent="0.3">
      <c r="B129" s="6">
        <f>'Q.1 Data'!B129</f>
        <v>48335</v>
      </c>
      <c r="C129" s="5">
        <v>242.4</v>
      </c>
      <c r="D129" s="11">
        <f t="shared" si="1"/>
        <v>3.0612244897959329E-2</v>
      </c>
    </row>
    <row r="130" spans="2:4" x14ac:dyDescent="0.3">
      <c r="B130" s="6">
        <f>'Q.1 Data'!B130</f>
        <v>48366</v>
      </c>
      <c r="C130" s="5">
        <v>241.8</v>
      </c>
      <c r="D130" s="11">
        <f t="shared" si="1"/>
        <v>2.8061224489795977E-2</v>
      </c>
    </row>
    <row r="131" spans="2:4" x14ac:dyDescent="0.3">
      <c r="B131" s="6">
        <f>'Q.1 Data'!B131</f>
        <v>48396</v>
      </c>
      <c r="C131" s="5">
        <v>242.1</v>
      </c>
      <c r="D131" s="11">
        <f t="shared" si="1"/>
        <v>3.1529612270984275E-2</v>
      </c>
    </row>
    <row r="132" spans="2:4" x14ac:dyDescent="0.3">
      <c r="B132" s="6">
        <f>'Q.1 Data'!B132</f>
        <v>48427</v>
      </c>
      <c r="C132" s="5">
        <v>243</v>
      </c>
      <c r="D132" s="11">
        <f t="shared" si="1"/>
        <v>2.9224904701397714E-2</v>
      </c>
    </row>
    <row r="133" spans="2:4" x14ac:dyDescent="0.3">
      <c r="B133" s="6">
        <f>'Q.1 Data'!B133</f>
        <v>48458</v>
      </c>
      <c r="C133" s="5">
        <v>244.2</v>
      </c>
      <c r="D133" s="11">
        <f t="shared" si="1"/>
        <v>2.6481715006305029E-2</v>
      </c>
    </row>
    <row r="134" spans="2:4" x14ac:dyDescent="0.3">
      <c r="B134" s="6">
        <f>'Q.1 Data'!B134</f>
        <v>48488</v>
      </c>
      <c r="C134" s="5">
        <v>245.6</v>
      </c>
      <c r="D134" s="11">
        <f t="shared" si="1"/>
        <v>3.1932773109243584E-2</v>
      </c>
    </row>
    <row r="135" spans="2:4" x14ac:dyDescent="0.3">
      <c r="B135" s="6">
        <f>'Q.1 Data'!B135</f>
        <v>48519</v>
      </c>
      <c r="C135" s="5">
        <v>245.6</v>
      </c>
      <c r="D135" s="11">
        <f t="shared" si="1"/>
        <v>2.9769392033542896E-2</v>
      </c>
    </row>
    <row r="136" spans="2:4" x14ac:dyDescent="0.3">
      <c r="B136" s="6">
        <f>'Q.1 Data'!B136</f>
        <v>48549</v>
      </c>
      <c r="C136" s="5">
        <v>246.8</v>
      </c>
      <c r="D136" s="11">
        <f t="shared" si="1"/>
        <v>3.0910609857978333E-2</v>
      </c>
    </row>
    <row r="137" spans="2:4" x14ac:dyDescent="0.3">
      <c r="B137" s="6">
        <f>'Q.1 Data'!B137</f>
        <v>48580</v>
      </c>
      <c r="C137" s="5">
        <v>245.8</v>
      </c>
      <c r="D137" s="11">
        <f t="shared" si="1"/>
        <v>3.2773109243697585E-2</v>
      </c>
    </row>
    <row r="138" spans="2:4" x14ac:dyDescent="0.3">
      <c r="B138" s="6">
        <f>'Q.1 Data'!B138</f>
        <v>48611</v>
      </c>
      <c r="C138" s="5">
        <v>247.6</v>
      </c>
      <c r="D138" s="11">
        <f t="shared" si="1"/>
        <v>3.2096706961233901E-2</v>
      </c>
    </row>
    <row r="139" spans="2:4" x14ac:dyDescent="0.3">
      <c r="B139" s="6">
        <f>'Q.1 Data'!B139</f>
        <v>48639</v>
      </c>
      <c r="C139" s="5">
        <v>248.7</v>
      </c>
      <c r="D139" s="11">
        <f t="shared" si="1"/>
        <v>3.2807308970099536E-2</v>
      </c>
    </row>
    <row r="140" spans="2:4" x14ac:dyDescent="0.3">
      <c r="B140" s="6">
        <f>'Q.1 Data'!B140</f>
        <v>48670</v>
      </c>
      <c r="C140" s="5">
        <v>249.5</v>
      </c>
      <c r="D140" s="11">
        <f t="shared" si="1"/>
        <v>2.8865979381443196E-2</v>
      </c>
    </row>
    <row r="141" spans="2:4" x14ac:dyDescent="0.3">
      <c r="B141" s="6">
        <f>'Q.1 Data'!B141</f>
        <v>48700</v>
      </c>
      <c r="C141" s="5">
        <v>250</v>
      </c>
      <c r="D141" s="11">
        <f t="shared" si="1"/>
        <v>3.1353135313531233E-2</v>
      </c>
    </row>
    <row r="142" spans="2:4" x14ac:dyDescent="0.3">
      <c r="B142" s="6">
        <f>'Q.1 Data'!B142</f>
        <v>48731</v>
      </c>
      <c r="C142" s="5">
        <v>249.7</v>
      </c>
      <c r="D142" s="11">
        <f t="shared" si="1"/>
        <v>3.2671629445822914E-2</v>
      </c>
    </row>
    <row r="143" spans="2:4" x14ac:dyDescent="0.3">
      <c r="B143" s="6">
        <f>'Q.1 Data'!B143</f>
        <v>48761</v>
      </c>
      <c r="C143" s="5">
        <v>249.7</v>
      </c>
      <c r="D143" s="11">
        <f t="shared" si="1"/>
        <v>3.1391986782321357E-2</v>
      </c>
    </row>
    <row r="144" spans="2:4" x14ac:dyDescent="0.3">
      <c r="B144" s="6">
        <f>'Q.1 Data'!B144</f>
        <v>48792</v>
      </c>
      <c r="C144" s="5">
        <v>251</v>
      </c>
      <c r="D144" s="11">
        <f t="shared" si="1"/>
        <v>3.292181069958855E-2</v>
      </c>
    </row>
    <row r="145" spans="2:4" x14ac:dyDescent="0.3">
      <c r="B145" s="6">
        <f>'Q.1 Data'!B145</f>
        <v>48823</v>
      </c>
      <c r="C145" s="5">
        <v>251.9</v>
      </c>
      <c r="D145" s="11">
        <f t="shared" si="1"/>
        <v>3.1531531531531654E-2</v>
      </c>
    </row>
    <row r="146" spans="2:4" x14ac:dyDescent="0.3">
      <c r="B146" s="6">
        <f>'Q.1 Data'!B146</f>
        <v>48853</v>
      </c>
      <c r="C146" s="5">
        <v>251.9</v>
      </c>
      <c r="D146" s="11">
        <f t="shared" ref="D146:D208" si="2">C146/C134-1</f>
        <v>2.5651465798045558E-2</v>
      </c>
    </row>
    <row r="147" spans="2:4" x14ac:dyDescent="0.3">
      <c r="B147" s="6">
        <f>'Q.1 Data'!B147</f>
        <v>48884</v>
      </c>
      <c r="C147" s="5">
        <v>252.1</v>
      </c>
      <c r="D147" s="11">
        <f t="shared" si="2"/>
        <v>2.6465798045602673E-2</v>
      </c>
    </row>
    <row r="148" spans="2:4" x14ac:dyDescent="0.3">
      <c r="B148" s="6">
        <f>'Q.1 Data'!B148</f>
        <v>48914</v>
      </c>
      <c r="C148" s="5">
        <v>253.4</v>
      </c>
      <c r="D148" s="11">
        <f t="shared" si="2"/>
        <v>2.6742301458670958E-2</v>
      </c>
    </row>
    <row r="149" spans="2:4" x14ac:dyDescent="0.3">
      <c r="B149" s="6">
        <f>'Q.1 Data'!B149</f>
        <v>48945</v>
      </c>
      <c r="C149" s="5">
        <v>252.6</v>
      </c>
      <c r="D149" s="11">
        <f t="shared" si="2"/>
        <v>2.7664768104149751E-2</v>
      </c>
    </row>
    <row r="150" spans="2:4" x14ac:dyDescent="0.3">
      <c r="B150" s="6">
        <f>'Q.1 Data'!B150</f>
        <v>48976</v>
      </c>
      <c r="C150" s="5">
        <v>254.2</v>
      </c>
      <c r="D150" s="11">
        <f t="shared" si="2"/>
        <v>2.6655896607431284E-2</v>
      </c>
    </row>
    <row r="151" spans="2:4" x14ac:dyDescent="0.3">
      <c r="B151" s="6">
        <f>'Q.1 Data'!B151</f>
        <v>49004</v>
      </c>
      <c r="C151" s="5">
        <v>254.8</v>
      </c>
      <c r="D151" s="11">
        <f t="shared" si="2"/>
        <v>2.4527543224768911E-2</v>
      </c>
    </row>
    <row r="152" spans="2:4" x14ac:dyDescent="0.3">
      <c r="B152" s="6">
        <f>'Q.1 Data'!B152</f>
        <v>49035</v>
      </c>
      <c r="C152" s="5">
        <v>255.7</v>
      </c>
      <c r="D152" s="11">
        <f t="shared" si="2"/>
        <v>2.4849699398797442E-2</v>
      </c>
    </row>
    <row r="153" spans="2:4" x14ac:dyDescent="0.3">
      <c r="B153" s="6">
        <f>'Q.1 Data'!B153</f>
        <v>49065</v>
      </c>
      <c r="C153" s="5">
        <v>255.9</v>
      </c>
      <c r="D153" s="11">
        <f t="shared" si="2"/>
        <v>2.3600000000000065E-2</v>
      </c>
    </row>
    <row r="154" spans="2:4" x14ac:dyDescent="0.3">
      <c r="B154" s="6">
        <f>'Q.1 Data'!B154</f>
        <v>49096</v>
      </c>
      <c r="C154" s="5">
        <v>256.3</v>
      </c>
      <c r="D154" s="11">
        <f t="shared" si="2"/>
        <v>2.6431718061673992E-2</v>
      </c>
    </row>
    <row r="155" spans="2:4" x14ac:dyDescent="0.3">
      <c r="B155" s="6">
        <f>'Q.1 Data'!B155</f>
        <v>49126</v>
      </c>
      <c r="C155" s="5">
        <v>256</v>
      </c>
      <c r="D155" s="11">
        <f t="shared" si="2"/>
        <v>2.5230276331597912E-2</v>
      </c>
    </row>
    <row r="156" spans="2:4" x14ac:dyDescent="0.3">
      <c r="B156" s="6">
        <f>'Q.1 Data'!B156</f>
        <v>49157</v>
      </c>
      <c r="C156" s="5">
        <v>257</v>
      </c>
      <c r="D156" s="11">
        <f t="shared" si="2"/>
        <v>2.3904382470119501E-2</v>
      </c>
    </row>
    <row r="157" spans="2:4" x14ac:dyDescent="0.3">
      <c r="B157" s="6">
        <f>'Q.1 Data'!B157</f>
        <v>49188</v>
      </c>
      <c r="C157" s="5">
        <v>257.60000000000002</v>
      </c>
      <c r="D157" s="11">
        <f t="shared" si="2"/>
        <v>2.2628026994839345E-2</v>
      </c>
    </row>
    <row r="158" spans="2:4" x14ac:dyDescent="0.3">
      <c r="B158" s="6">
        <f>'Q.1 Data'!B158</f>
        <v>49218</v>
      </c>
      <c r="C158" s="5">
        <v>257.7</v>
      </c>
      <c r="D158" s="11">
        <f t="shared" si="2"/>
        <v>2.3025009924573236E-2</v>
      </c>
    </row>
    <row r="159" spans="2:4" x14ac:dyDescent="0.3">
      <c r="B159" s="6">
        <f>'Q.1 Data'!B159</f>
        <v>49249</v>
      </c>
      <c r="C159" s="5">
        <v>257.10000000000002</v>
      </c>
      <c r="D159" s="11">
        <f t="shared" si="2"/>
        <v>1.983339944466489E-2</v>
      </c>
    </row>
    <row r="160" spans="2:4" x14ac:dyDescent="0.3">
      <c r="B160" s="6">
        <f>'Q.1 Data'!B160</f>
        <v>49279</v>
      </c>
      <c r="C160" s="5">
        <v>257.5</v>
      </c>
      <c r="D160" s="11">
        <f t="shared" si="2"/>
        <v>1.6179952644040929E-2</v>
      </c>
    </row>
    <row r="161" spans="2:4" x14ac:dyDescent="0.3">
      <c r="B161" s="6">
        <f>'Q.1 Data'!B161</f>
        <v>49310</v>
      </c>
      <c r="C161" s="5">
        <v>255.4</v>
      </c>
      <c r="D161" s="11">
        <f t="shared" si="2"/>
        <v>1.1084718923198844E-2</v>
      </c>
    </row>
    <row r="162" spans="2:4" x14ac:dyDescent="0.3">
      <c r="B162" s="6">
        <f>'Q.1 Data'!B162</f>
        <v>49341</v>
      </c>
      <c r="C162" s="5">
        <v>256.7</v>
      </c>
      <c r="D162" s="11">
        <f t="shared" si="2"/>
        <v>9.8347757671124469E-3</v>
      </c>
    </row>
    <row r="163" spans="2:4" x14ac:dyDescent="0.3">
      <c r="B163" s="6">
        <f>'Q.1 Data'!B163</f>
        <v>49369</v>
      </c>
      <c r="C163" s="5">
        <v>257.10000000000002</v>
      </c>
      <c r="D163" s="11">
        <f t="shared" si="2"/>
        <v>9.0266875981162009E-3</v>
      </c>
    </row>
    <row r="164" spans="2:4" x14ac:dyDescent="0.3">
      <c r="B164" s="6">
        <f>'Q.1 Data'!B164</f>
        <v>49400</v>
      </c>
      <c r="C164" s="5">
        <v>258</v>
      </c>
      <c r="D164" s="11">
        <f t="shared" si="2"/>
        <v>8.9949159170903403E-3</v>
      </c>
    </row>
    <row r="165" spans="2:4" x14ac:dyDescent="0.3">
      <c r="B165" s="6">
        <f>'Q.1 Data'!B165</f>
        <v>49430</v>
      </c>
      <c r="C165" s="5">
        <v>258.5</v>
      </c>
      <c r="D165" s="11">
        <f t="shared" si="2"/>
        <v>1.0160218835482571E-2</v>
      </c>
    </row>
    <row r="166" spans="2:4" x14ac:dyDescent="0.3">
      <c r="B166" s="6">
        <f>'Q.1 Data'!B166</f>
        <v>49461</v>
      </c>
      <c r="C166" s="5">
        <v>258.89999999999998</v>
      </c>
      <c r="D166" s="11">
        <f t="shared" si="2"/>
        <v>1.014436207569247E-2</v>
      </c>
    </row>
    <row r="167" spans="2:4" x14ac:dyDescent="0.3">
      <c r="B167" s="6">
        <f>'Q.1 Data'!B167</f>
        <v>49491</v>
      </c>
      <c r="C167" s="5">
        <v>258.60000000000002</v>
      </c>
      <c r="D167" s="11">
        <f t="shared" si="2"/>
        <v>1.0156250000000089E-2</v>
      </c>
    </row>
    <row r="168" spans="2:4" x14ac:dyDescent="0.3">
      <c r="B168" s="6">
        <f>'Q.1 Data'!B168</f>
        <v>49522</v>
      </c>
      <c r="C168" s="5">
        <v>259.8</v>
      </c>
      <c r="D168" s="11">
        <f t="shared" si="2"/>
        <v>1.0894941634241206E-2</v>
      </c>
    </row>
    <row r="169" spans="2:4" x14ac:dyDescent="0.3">
      <c r="B169" s="6">
        <f>'Q.1 Data'!B169</f>
        <v>49553</v>
      </c>
      <c r="C169" s="5">
        <v>259.60000000000002</v>
      </c>
      <c r="D169" s="11">
        <f t="shared" si="2"/>
        <v>7.763975155279601E-3</v>
      </c>
    </row>
    <row r="170" spans="2:4" x14ac:dyDescent="0.3">
      <c r="B170" s="6">
        <f>'Q.1 Data'!B170</f>
        <v>49583</v>
      </c>
      <c r="C170" s="5">
        <v>259.5</v>
      </c>
      <c r="D170" s="11">
        <f t="shared" si="2"/>
        <v>6.9848661233993248E-3</v>
      </c>
    </row>
    <row r="171" spans="2:4" x14ac:dyDescent="0.3">
      <c r="B171" s="6">
        <f>'Q.1 Data'!B171</f>
        <v>49614</v>
      </c>
      <c r="C171" s="5">
        <v>259.8</v>
      </c>
      <c r="D171" s="11">
        <f t="shared" si="2"/>
        <v>1.0501750291715295E-2</v>
      </c>
    </row>
    <row r="172" spans="2:4" x14ac:dyDescent="0.3">
      <c r="B172" s="6">
        <f>'Q.1 Data'!B172</f>
        <v>49644</v>
      </c>
      <c r="C172" s="5">
        <v>260.60000000000002</v>
      </c>
      <c r="D172" s="11">
        <f t="shared" si="2"/>
        <v>1.2038834951456412E-2</v>
      </c>
    </row>
    <row r="173" spans="2:4" x14ac:dyDescent="0.3">
      <c r="B173" s="6">
        <f>'Q.1 Data'!B173</f>
        <v>49675</v>
      </c>
      <c r="C173" s="5">
        <v>258.8</v>
      </c>
      <c r="D173" s="11">
        <f t="shared" si="2"/>
        <v>1.3312451057165164E-2</v>
      </c>
    </row>
    <row r="174" spans="2:4" x14ac:dyDescent="0.3">
      <c r="B174" s="6">
        <f>'Q.1 Data'!B174</f>
        <v>49706</v>
      </c>
      <c r="C174" s="5">
        <v>260</v>
      </c>
      <c r="D174" s="11">
        <f t="shared" si="2"/>
        <v>1.285547331515402E-2</v>
      </c>
    </row>
    <row r="175" spans="2:4" x14ac:dyDescent="0.3">
      <c r="B175" s="6">
        <f>'Q.1 Data'!B175</f>
        <v>49735</v>
      </c>
      <c r="C175" s="5">
        <v>261.10000000000002</v>
      </c>
      <c r="D175" s="11">
        <f t="shared" si="2"/>
        <v>1.5558148580318898E-2</v>
      </c>
    </row>
    <row r="176" spans="2:4" x14ac:dyDescent="0.3">
      <c r="B176" s="6">
        <f>'Q.1 Data'!B176</f>
        <v>49766</v>
      </c>
      <c r="C176" s="5">
        <v>261.39999999999998</v>
      </c>
      <c r="D176" s="11">
        <f t="shared" si="2"/>
        <v>1.317829457364339E-2</v>
      </c>
    </row>
    <row r="177" spans="2:4" x14ac:dyDescent="0.3">
      <c r="B177" s="6">
        <f>'Q.1 Data'!B177</f>
        <v>49796</v>
      </c>
      <c r="C177" s="5">
        <v>262.10000000000002</v>
      </c>
      <c r="D177" s="11">
        <f t="shared" si="2"/>
        <v>1.3926499032882012E-2</v>
      </c>
    </row>
    <row r="178" spans="2:4" x14ac:dyDescent="0.3">
      <c r="B178" s="6">
        <f>'Q.1 Data'!B178</f>
        <v>49827</v>
      </c>
      <c r="C178" s="5">
        <v>263.10000000000002</v>
      </c>
      <c r="D178" s="11">
        <f t="shared" si="2"/>
        <v>1.6222479721900607E-2</v>
      </c>
    </row>
    <row r="179" spans="2:4" x14ac:dyDescent="0.3">
      <c r="B179" s="6">
        <f>'Q.1 Data'!B179</f>
        <v>49857</v>
      </c>
      <c r="C179" s="5">
        <v>263.39999999999998</v>
      </c>
      <c r="D179" s="11">
        <f t="shared" si="2"/>
        <v>1.8561484918793392E-2</v>
      </c>
    </row>
    <row r="180" spans="2:4" x14ac:dyDescent="0.3">
      <c r="B180" s="6">
        <f>'Q.1 Data'!B180</f>
        <v>49888</v>
      </c>
      <c r="C180" s="5">
        <v>264.39999999999998</v>
      </c>
      <c r="D180" s="11">
        <f t="shared" si="2"/>
        <v>1.7705927636643359E-2</v>
      </c>
    </row>
    <row r="181" spans="2:4" x14ac:dyDescent="0.3">
      <c r="B181" s="6">
        <f>'Q.1 Data'!B181</f>
        <v>49919</v>
      </c>
      <c r="C181" s="5">
        <v>264.89999999999998</v>
      </c>
      <c r="D181" s="11">
        <f t="shared" si="2"/>
        <v>2.0416024653312714E-2</v>
      </c>
    </row>
    <row r="182" spans="2:4" x14ac:dyDescent="0.3">
      <c r="B182" s="6">
        <f>'Q.1 Data'!B182</f>
        <v>49949</v>
      </c>
      <c r="C182" s="5">
        <v>264.8</v>
      </c>
      <c r="D182" s="11">
        <f t="shared" si="2"/>
        <v>2.0423892100192687E-2</v>
      </c>
    </row>
    <row r="183" spans="2:4" x14ac:dyDescent="0.3">
      <c r="B183" s="6">
        <f>'Q.1 Data'!B183</f>
        <v>49980</v>
      </c>
      <c r="C183" s="5">
        <v>265.5</v>
      </c>
      <c r="D183" s="11">
        <f t="shared" si="2"/>
        <v>2.1939953810623525E-2</v>
      </c>
    </row>
    <row r="184" spans="2:4" x14ac:dyDescent="0.3">
      <c r="B184" s="6">
        <f>'Q.1 Data'!B184</f>
        <v>50010</v>
      </c>
      <c r="C184" s="5">
        <v>267.10000000000002</v>
      </c>
      <c r="D184" s="11">
        <f t="shared" si="2"/>
        <v>2.4942440521872555E-2</v>
      </c>
    </row>
    <row r="185" spans="2:4" x14ac:dyDescent="0.3">
      <c r="B185" s="6">
        <f>'Q.1 Data'!B185</f>
        <v>50041</v>
      </c>
      <c r="C185" s="5">
        <v>265.5</v>
      </c>
      <c r="D185" s="11">
        <f t="shared" si="2"/>
        <v>2.5888717156105079E-2</v>
      </c>
    </row>
    <row r="186" spans="2:4" x14ac:dyDescent="0.3">
      <c r="B186" s="6">
        <f>'Q.1 Data'!B186</f>
        <v>50072</v>
      </c>
      <c r="C186" s="5">
        <v>268.39999999999998</v>
      </c>
      <c r="D186" s="11">
        <f t="shared" si="2"/>
        <v>3.2307692307692149E-2</v>
      </c>
    </row>
    <row r="187" spans="2:4" x14ac:dyDescent="0.3">
      <c r="B187" s="6">
        <f>'Q.1 Data'!B187</f>
        <v>50100</v>
      </c>
      <c r="C187" s="5">
        <v>269.3</v>
      </c>
      <c r="D187" s="11">
        <f t="shared" si="2"/>
        <v>3.1405591727307502E-2</v>
      </c>
    </row>
    <row r="188" spans="2:4" x14ac:dyDescent="0.3">
      <c r="B188" s="6">
        <f>'Q.1 Data'!B188</f>
        <v>50131</v>
      </c>
      <c r="C188" s="5">
        <v>270.60000000000002</v>
      </c>
      <c r="D188" s="11">
        <f t="shared" si="2"/>
        <v>3.5195103289977325E-2</v>
      </c>
    </row>
    <row r="189" spans="2:4" x14ac:dyDescent="0.3">
      <c r="B189" s="6">
        <f>'Q.1 Data'!B189</f>
        <v>50161</v>
      </c>
      <c r="C189" s="5">
        <v>271.7</v>
      </c>
      <c r="D189" s="11">
        <f t="shared" si="2"/>
        <v>3.6627241510873487E-2</v>
      </c>
    </row>
    <row r="190" spans="2:4" x14ac:dyDescent="0.3">
      <c r="B190" s="6">
        <f>'Q.1 Data'!B190</f>
        <v>50192</v>
      </c>
      <c r="C190" s="5">
        <v>272.3</v>
      </c>
      <c r="D190" s="11">
        <f t="shared" si="2"/>
        <v>3.4967692892436286E-2</v>
      </c>
    </row>
    <row r="191" spans="2:4" x14ac:dyDescent="0.3">
      <c r="B191" s="6">
        <f>'Q.1 Data'!B191</f>
        <v>50222</v>
      </c>
      <c r="C191" s="5">
        <v>272.89999999999998</v>
      </c>
      <c r="D191" s="11">
        <f t="shared" si="2"/>
        <v>3.6066818526955258E-2</v>
      </c>
    </row>
    <row r="192" spans="2:4" x14ac:dyDescent="0.3">
      <c r="B192" s="6">
        <f>'Q.1 Data'!B192</f>
        <v>50253</v>
      </c>
      <c r="C192" s="5">
        <v>274.7</v>
      </c>
      <c r="D192" s="11">
        <f t="shared" si="2"/>
        <v>3.895612708018148E-2</v>
      </c>
    </row>
    <row r="193" spans="2:4" x14ac:dyDescent="0.3">
      <c r="B193" s="6">
        <f>'Q.1 Data'!B193</f>
        <v>50284</v>
      </c>
      <c r="C193" s="5">
        <v>275.10000000000002</v>
      </c>
      <c r="D193" s="11">
        <f t="shared" si="2"/>
        <v>3.8505096262740901E-2</v>
      </c>
    </row>
    <row r="194" spans="2:4" x14ac:dyDescent="0.3">
      <c r="B194" s="6">
        <f>'Q.1 Data'!B194</f>
        <v>50314</v>
      </c>
      <c r="C194" s="5">
        <v>275.3</v>
      </c>
      <c r="D194" s="11">
        <f t="shared" si="2"/>
        <v>3.9652567975830832E-2</v>
      </c>
    </row>
    <row r="195" spans="2:4" x14ac:dyDescent="0.3">
      <c r="B195" s="6">
        <f>'Q.1 Data'!B195</f>
        <v>50345</v>
      </c>
      <c r="C195" s="5">
        <v>279.5</v>
      </c>
      <c r="D195" s="11">
        <f t="shared" si="2"/>
        <v>5.2730696798493515E-2</v>
      </c>
    </row>
    <row r="196" spans="2:4" x14ac:dyDescent="0.3">
      <c r="B196" s="6">
        <f>'Q.1 Data'!B196</f>
        <v>50375</v>
      </c>
      <c r="C196" s="5">
        <v>283.8</v>
      </c>
      <c r="D196" s="11">
        <f t="shared" si="2"/>
        <v>6.2523399475851615E-2</v>
      </c>
    </row>
    <row r="197" spans="2:4" x14ac:dyDescent="0.3">
      <c r="B197" s="6">
        <f>'Q.1 Data'!B197</f>
        <v>50406</v>
      </c>
      <c r="C197" s="5">
        <v>288.10000000000002</v>
      </c>
      <c r="D197" s="11">
        <f t="shared" si="2"/>
        <v>8.5122410546139449E-2</v>
      </c>
    </row>
    <row r="198" spans="2:4" x14ac:dyDescent="0.3">
      <c r="B198" s="6">
        <f>'Q.1 Data'!B198</f>
        <v>50437</v>
      </c>
      <c r="C198" s="5">
        <v>292.5</v>
      </c>
      <c r="D198" s="11">
        <f t="shared" si="2"/>
        <v>8.9791356184798943E-2</v>
      </c>
    </row>
    <row r="199" spans="2:4" x14ac:dyDescent="0.3">
      <c r="B199" s="6">
        <f>'Q.1 Data'!B199</f>
        <v>50465</v>
      </c>
      <c r="C199" s="5">
        <v>297</v>
      </c>
      <c r="D199" s="11">
        <f t="shared" si="2"/>
        <v>0.10285926476049001</v>
      </c>
    </row>
    <row r="200" spans="2:4" x14ac:dyDescent="0.3">
      <c r="B200" s="6">
        <f>'Q.1 Data'!B200</f>
        <v>50496</v>
      </c>
      <c r="C200" s="5">
        <v>301.5</v>
      </c>
      <c r="D200" s="11">
        <f t="shared" si="2"/>
        <v>0.11419068736141891</v>
      </c>
    </row>
    <row r="201" spans="2:4" x14ac:dyDescent="0.3">
      <c r="B201" s="6">
        <f>'Q.1 Data'!B201</f>
        <v>50526</v>
      </c>
      <c r="C201" s="5">
        <v>306.10000000000002</v>
      </c>
      <c r="D201" s="11">
        <f t="shared" si="2"/>
        <v>0.12661023187338993</v>
      </c>
    </row>
    <row r="202" spans="2:4" x14ac:dyDescent="0.3">
      <c r="B202" s="6">
        <f>'Q.1 Data'!B202</f>
        <v>50557</v>
      </c>
      <c r="C202" s="5">
        <v>310.8</v>
      </c>
      <c r="D202" s="11">
        <f t="shared" si="2"/>
        <v>0.1413881748071979</v>
      </c>
    </row>
    <row r="203" spans="2:4" x14ac:dyDescent="0.3">
      <c r="B203" s="6">
        <f>'Q.1 Data'!B203</f>
        <v>50587</v>
      </c>
      <c r="C203" s="5">
        <v>315.60000000000002</v>
      </c>
      <c r="D203" s="11">
        <f t="shared" si="2"/>
        <v>0.15646757053865912</v>
      </c>
    </row>
    <row r="204" spans="2:4" x14ac:dyDescent="0.3">
      <c r="B204" s="6">
        <f>'Q.1 Data'!B204</f>
        <v>50618</v>
      </c>
      <c r="C204" s="5">
        <v>320.39999999999998</v>
      </c>
      <c r="D204" s="11">
        <f t="shared" si="2"/>
        <v>0.16636330542409894</v>
      </c>
    </row>
    <row r="205" spans="2:4" x14ac:dyDescent="0.3">
      <c r="B205" s="6">
        <f>'Q.1 Data'!B205</f>
        <v>50649</v>
      </c>
      <c r="C205" s="5">
        <v>325.3</v>
      </c>
      <c r="D205" s="11">
        <f t="shared" si="2"/>
        <v>0.18247909850963273</v>
      </c>
    </row>
    <row r="206" spans="2:4" x14ac:dyDescent="0.3">
      <c r="B206" s="6">
        <f>'Q.1 Data'!B206</f>
        <v>50679</v>
      </c>
      <c r="C206" s="5">
        <v>330.3</v>
      </c>
      <c r="D206" s="11">
        <f t="shared" si="2"/>
        <v>0.19978205593897558</v>
      </c>
    </row>
    <row r="207" spans="2:4" x14ac:dyDescent="0.3">
      <c r="B207" s="6">
        <f>'Q.1 Data'!B207</f>
        <v>50710</v>
      </c>
      <c r="C207" s="5">
        <v>335.4</v>
      </c>
      <c r="D207" s="11">
        <f t="shared" si="2"/>
        <v>0.19999999999999996</v>
      </c>
    </row>
    <row r="208" spans="2:4" x14ac:dyDescent="0.3">
      <c r="B208" s="6">
        <f>'Q.1 Data'!B208</f>
        <v>50740</v>
      </c>
      <c r="C208" s="12">
        <v>340.5</v>
      </c>
      <c r="D208" s="13">
        <f t="shared" si="2"/>
        <v>0.19978858350951367</v>
      </c>
    </row>
    <row r="209" spans="3:4" x14ac:dyDescent="0.3">
      <c r="D209" s="98"/>
    </row>
    <row r="210" spans="3:4" x14ac:dyDescent="0.3">
      <c r="C210" s="5"/>
      <c r="D210" s="14"/>
    </row>
    <row r="211" spans="3:4" x14ac:dyDescent="0.3">
      <c r="C211" s="5"/>
      <c r="D211" s="14"/>
    </row>
    <row r="212" spans="3:4" x14ac:dyDescent="0.3">
      <c r="C212" s="5"/>
      <c r="D212" s="14"/>
    </row>
    <row r="213" spans="3:4" x14ac:dyDescent="0.3">
      <c r="C213" s="5"/>
      <c r="D213" s="14"/>
    </row>
    <row r="214" spans="3:4" x14ac:dyDescent="0.3">
      <c r="C214" s="5"/>
      <c r="D214" s="14"/>
    </row>
    <row r="215" spans="3:4" x14ac:dyDescent="0.3">
      <c r="C215" s="5"/>
      <c r="D215" s="14"/>
    </row>
    <row r="216" spans="3:4" x14ac:dyDescent="0.3">
      <c r="C216" s="5"/>
      <c r="D216" s="14"/>
    </row>
    <row r="217" spans="3:4" x14ac:dyDescent="0.3">
      <c r="C217" s="5"/>
      <c r="D217" s="14"/>
    </row>
    <row r="218" spans="3:4" x14ac:dyDescent="0.3">
      <c r="C218" s="5"/>
      <c r="D218" s="14"/>
    </row>
    <row r="219" spans="3:4" x14ac:dyDescent="0.3">
      <c r="C219" s="5"/>
      <c r="D219" s="14"/>
    </row>
    <row r="220" spans="3:4" x14ac:dyDescent="0.3">
      <c r="C220" s="5"/>
      <c r="D220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22"/>
  <sheetViews>
    <sheetView topLeftCell="C4" zoomScaleNormal="100" workbookViewId="0"/>
  </sheetViews>
  <sheetFormatPr defaultColWidth="7.6640625" defaultRowHeight="13" x14ac:dyDescent="0.3"/>
  <cols>
    <col min="1" max="1" width="7.6640625" style="99"/>
    <col min="2" max="2" width="11" style="99" bestFit="1" customWidth="1"/>
    <col min="3" max="3" width="13.5" style="99" bestFit="1" customWidth="1"/>
    <col min="4" max="4" width="16.1640625" style="99" bestFit="1" customWidth="1"/>
    <col min="5" max="5" width="16" style="99" customWidth="1"/>
    <col min="6" max="6" width="7.83203125" style="99" bestFit="1" customWidth="1"/>
    <col min="7" max="7" width="7.6640625" style="99"/>
    <col min="8" max="8" width="10.33203125" style="99" bestFit="1" customWidth="1"/>
    <col min="9" max="9" width="12.6640625" style="99" bestFit="1" customWidth="1"/>
    <col min="10" max="11" width="15.5" style="99" bestFit="1" customWidth="1"/>
    <col min="12" max="12" width="7.83203125" style="99" bestFit="1" customWidth="1"/>
    <col min="13" max="13" width="9.83203125" style="99" customWidth="1"/>
    <col min="14" max="14" width="13.6640625" style="99" bestFit="1" customWidth="1"/>
    <col min="15" max="15" width="15.5" style="99" bestFit="1" customWidth="1"/>
    <col min="16" max="16384" width="7.6640625" style="99"/>
  </cols>
  <sheetData>
    <row r="2" spans="1:15" s="102" customFormat="1" ht="19" x14ac:dyDescent="0.4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4" spans="1:15" ht="39" x14ac:dyDescent="0.3">
      <c r="B4" s="103" t="s">
        <v>3</v>
      </c>
      <c r="C4" s="104">
        <v>10000000</v>
      </c>
      <c r="D4" s="105"/>
      <c r="E4" s="105"/>
      <c r="F4" s="106" t="s">
        <v>4</v>
      </c>
      <c r="G4" s="106" t="s">
        <v>5</v>
      </c>
      <c r="H4" s="106" t="s">
        <v>6</v>
      </c>
      <c r="I4" s="107" t="s">
        <v>7</v>
      </c>
      <c r="J4" s="106" t="s">
        <v>8</v>
      </c>
      <c r="K4" s="106" t="s">
        <v>9</v>
      </c>
      <c r="L4" s="106" t="s">
        <v>10</v>
      </c>
      <c r="M4" s="106" t="s">
        <v>11</v>
      </c>
      <c r="N4" s="106" t="s">
        <v>12</v>
      </c>
      <c r="O4" s="103" t="s">
        <v>13</v>
      </c>
    </row>
    <row r="5" spans="1:15" x14ac:dyDescent="0.3">
      <c r="B5" s="108" t="s">
        <v>14</v>
      </c>
      <c r="C5" s="109">
        <v>1.4999999999999999E-2</v>
      </c>
      <c r="D5" s="109"/>
      <c r="E5" s="109"/>
      <c r="F5" s="110">
        <v>0</v>
      </c>
      <c r="G5" s="111">
        <f>B20</f>
        <v>44927</v>
      </c>
      <c r="H5" s="112">
        <f t="shared" ref="H5:H35" si="0">VLOOKUP(G5,$C$8:$D$220,2,FALSE)</f>
        <v>177.9</v>
      </c>
      <c r="I5" s="113"/>
      <c r="J5" s="113"/>
      <c r="K5" s="114"/>
      <c r="L5" s="112">
        <f t="shared" ref="L5:L35" si="1">VLOOKUP(G5,$B$8:$D$220,3,FALSE)</f>
        <v>178.4</v>
      </c>
      <c r="M5" s="115"/>
      <c r="N5" s="114"/>
      <c r="O5" s="115"/>
    </row>
    <row r="6" spans="1:15" x14ac:dyDescent="0.3">
      <c r="B6" s="108" t="s">
        <v>15</v>
      </c>
      <c r="C6" s="116">
        <v>1</v>
      </c>
      <c r="D6" s="116"/>
      <c r="E6" s="116"/>
      <c r="F6" s="117">
        <v>0.5</v>
      </c>
      <c r="G6" s="118">
        <v>45108</v>
      </c>
      <c r="H6" s="119">
        <f t="shared" si="0"/>
        <v>181.2</v>
      </c>
      <c r="I6" s="120">
        <f t="shared" ref="I6:I35" si="2">H6/$H$5</f>
        <v>1.0185497470489038</v>
      </c>
      <c r="J6" s="121">
        <f t="shared" ref="J6:J34" si="3">$C$4*$C$5*I6/2</f>
        <v>76391.231028667782</v>
      </c>
      <c r="K6" s="121">
        <f t="shared" ref="K6:K35" si="4">J6*(1+$K$39)^-F6</f>
        <v>74721.773469504857</v>
      </c>
      <c r="L6" s="119">
        <f>VLOOKUP(G6,$B$8:$D$220,3,FALSE)</f>
        <v>181.3</v>
      </c>
      <c r="M6" s="122">
        <f t="shared" ref="M6:M35" si="5">$L$5/L6</f>
        <v>0.98400441257584115</v>
      </c>
      <c r="N6" s="121">
        <f t="shared" ref="N6:N35" si="6">J6*M6</f>
        <v>75169.308414309606</v>
      </c>
      <c r="O6" s="121">
        <f t="shared" ref="O6:O35" si="7">N6*(1+$O$39)^-F6</f>
        <v>74704.272720664027</v>
      </c>
    </row>
    <row r="7" spans="1:15" x14ac:dyDescent="0.3">
      <c r="B7" s="123" t="s">
        <v>0</v>
      </c>
      <c r="C7" s="123" t="s">
        <v>16</v>
      </c>
      <c r="D7" s="108" t="s">
        <v>17</v>
      </c>
      <c r="E7" s="124"/>
      <c r="F7" s="117">
        <v>1</v>
      </c>
      <c r="G7" s="125">
        <v>45292</v>
      </c>
      <c r="H7" s="119">
        <f t="shared" si="0"/>
        <v>182.6</v>
      </c>
      <c r="I7" s="120">
        <f t="shared" si="2"/>
        <v>1.0264193367060146</v>
      </c>
      <c r="J7" s="121">
        <f t="shared" si="3"/>
        <v>76981.450252951094</v>
      </c>
      <c r="K7" s="121">
        <f t="shared" si="4"/>
        <v>73653.504069621529</v>
      </c>
      <c r="L7" s="119">
        <f t="shared" si="1"/>
        <v>183.1</v>
      </c>
      <c r="M7" s="122">
        <f t="shared" si="5"/>
        <v>0.97433096668487174</v>
      </c>
      <c r="N7" s="121">
        <f t="shared" si="6"/>
        <v>75005.410841761201</v>
      </c>
      <c r="O7" s="121">
        <f t="shared" si="7"/>
        <v>74080.238037708375</v>
      </c>
    </row>
    <row r="8" spans="1:15" x14ac:dyDescent="0.3">
      <c r="B8" s="126">
        <f>'Q.1 (i)'!B5</f>
        <v>44562</v>
      </c>
      <c r="C8" s="126">
        <f>B11</f>
        <v>44652</v>
      </c>
      <c r="D8" s="127">
        <f>VLOOKUP(B8,'Q.1 Data'!$B$5:$C$208,2,FALSE)</f>
        <v>173.3</v>
      </c>
      <c r="E8" s="128"/>
      <c r="F8" s="117">
        <v>1.5</v>
      </c>
      <c r="G8" s="125">
        <v>45474</v>
      </c>
      <c r="H8" s="119">
        <f t="shared" si="0"/>
        <v>185.7</v>
      </c>
      <c r="I8" s="120">
        <f t="shared" si="2"/>
        <v>1.0438448566610454</v>
      </c>
      <c r="J8" s="121">
        <f t="shared" si="3"/>
        <v>78288.364249578401</v>
      </c>
      <c r="K8" s="121">
        <f t="shared" si="4"/>
        <v>73266.96574394028</v>
      </c>
      <c r="L8" s="119">
        <f t="shared" si="1"/>
        <v>186.8</v>
      </c>
      <c r="M8" s="122">
        <f t="shared" si="5"/>
        <v>0.95503211991434689</v>
      </c>
      <c r="N8" s="121">
        <f t="shared" si="6"/>
        <v>74767.902473901428</v>
      </c>
      <c r="O8" s="121">
        <f t="shared" si="7"/>
        <v>73388.812350855456</v>
      </c>
    </row>
    <row r="9" spans="1:15" x14ac:dyDescent="0.3">
      <c r="B9" s="126">
        <f>'Q.1 (i)'!B6</f>
        <v>44593</v>
      </c>
      <c r="C9" s="126">
        <f t="shared" ref="C9:C72" si="8">B12</f>
        <v>44682</v>
      </c>
      <c r="D9" s="127">
        <f>VLOOKUP(B9,'Q.1 Data'!$B$5:$C$208,2,FALSE)</f>
        <v>173.8</v>
      </c>
      <c r="E9" s="128"/>
      <c r="F9" s="117">
        <v>2</v>
      </c>
      <c r="G9" s="125">
        <v>45658</v>
      </c>
      <c r="H9" s="119">
        <f t="shared" si="0"/>
        <v>188.6</v>
      </c>
      <c r="I9" s="120">
        <f t="shared" si="2"/>
        <v>1.0601461495222033</v>
      </c>
      <c r="J9" s="121">
        <f t="shared" si="3"/>
        <v>79510.961214165247</v>
      </c>
      <c r="K9" s="121">
        <f t="shared" si="4"/>
        <v>72784.960928317974</v>
      </c>
      <c r="L9" s="119">
        <f t="shared" si="1"/>
        <v>188.9</v>
      </c>
      <c r="M9" s="122">
        <f t="shared" si="5"/>
        <v>0.94441503440974062</v>
      </c>
      <c r="N9" s="121">
        <f t="shared" si="6"/>
        <v>75091.347171027417</v>
      </c>
      <c r="O9" s="121">
        <f t="shared" si="7"/>
        <v>73250.306404878749</v>
      </c>
    </row>
    <row r="10" spans="1:15" x14ac:dyDescent="0.3">
      <c r="B10" s="126">
        <f>'Q.1 (i)'!B7</f>
        <v>44621</v>
      </c>
      <c r="C10" s="126">
        <f t="shared" si="8"/>
        <v>44713</v>
      </c>
      <c r="D10" s="127">
        <f>VLOOKUP(B10,'Q.1 Data'!$B$5:$C$208,2,FALSE)</f>
        <v>174.5</v>
      </c>
      <c r="E10" s="128"/>
      <c r="F10" s="117">
        <v>2.5</v>
      </c>
      <c r="G10" s="125">
        <v>45839</v>
      </c>
      <c r="H10" s="119">
        <f t="shared" si="0"/>
        <v>191.6</v>
      </c>
      <c r="I10" s="120">
        <f t="shared" si="2"/>
        <v>1.0770095559302979</v>
      </c>
      <c r="J10" s="121">
        <f t="shared" si="3"/>
        <v>80775.716694772345</v>
      </c>
      <c r="K10" s="121">
        <f t="shared" si="4"/>
        <v>72326.780209056989</v>
      </c>
      <c r="L10" s="119">
        <f t="shared" si="1"/>
        <v>192.2</v>
      </c>
      <c r="M10" s="122">
        <f t="shared" si="5"/>
        <v>0.92819979188345481</v>
      </c>
      <c r="N10" s="121">
        <f t="shared" si="6"/>
        <v>74976.003425324598</v>
      </c>
      <c r="O10" s="121">
        <f t="shared" si="7"/>
        <v>72685.322894201716</v>
      </c>
    </row>
    <row r="11" spans="1:15" x14ac:dyDescent="0.3">
      <c r="B11" s="126">
        <f>'Q.1 (i)'!B8</f>
        <v>44652</v>
      </c>
      <c r="C11" s="126">
        <f t="shared" si="8"/>
        <v>44743</v>
      </c>
      <c r="D11" s="127">
        <f>VLOOKUP(B11,'Q.1 Data'!$B$5:$C$208,2,FALSE)</f>
        <v>175.7</v>
      </c>
      <c r="E11" s="128"/>
      <c r="F11" s="117">
        <v>3</v>
      </c>
      <c r="G11" s="111">
        <v>46023</v>
      </c>
      <c r="H11" s="119">
        <f t="shared" si="0"/>
        <v>193.3</v>
      </c>
      <c r="I11" s="120">
        <f t="shared" si="2"/>
        <v>1.0865654862282181</v>
      </c>
      <c r="J11" s="121">
        <f t="shared" si="3"/>
        <v>81492.411467116355</v>
      </c>
      <c r="K11" s="121">
        <f t="shared" si="4"/>
        <v>71373.853249729713</v>
      </c>
      <c r="L11" s="119">
        <f t="shared" si="1"/>
        <v>193.4</v>
      </c>
      <c r="M11" s="122">
        <f t="shared" si="5"/>
        <v>0.92244053774560497</v>
      </c>
      <c r="N11" s="121">
        <f t="shared" si="6"/>
        <v>75171.903855912911</v>
      </c>
      <c r="O11" s="121">
        <f t="shared" si="7"/>
        <v>72424.394734629575</v>
      </c>
    </row>
    <row r="12" spans="1:15" x14ac:dyDescent="0.3">
      <c r="B12" s="126">
        <f>'Q.1 (i)'!B9</f>
        <v>44682</v>
      </c>
      <c r="C12" s="126">
        <f t="shared" si="8"/>
        <v>44774</v>
      </c>
      <c r="D12" s="127">
        <f>VLOOKUP(B12,'Q.1 Data'!$B$5:$C$208,2,FALSE)</f>
        <v>176.2</v>
      </c>
      <c r="E12" s="128"/>
      <c r="F12" s="117">
        <v>3.5</v>
      </c>
      <c r="G12" s="118">
        <v>46204</v>
      </c>
      <c r="H12" s="119">
        <f t="shared" si="0"/>
        <v>196.5</v>
      </c>
      <c r="I12" s="120">
        <f t="shared" si="2"/>
        <v>1.1045531197301854</v>
      </c>
      <c r="J12" s="121">
        <f t="shared" si="3"/>
        <v>82841.483979763914</v>
      </c>
      <c r="K12" s="121">
        <f t="shared" si="4"/>
        <v>70969.787792019837</v>
      </c>
      <c r="L12" s="119">
        <f t="shared" si="1"/>
        <v>198.5</v>
      </c>
      <c r="M12" s="122">
        <f t="shared" si="5"/>
        <v>0.89874055415617127</v>
      </c>
      <c r="N12" s="121">
        <f t="shared" si="6"/>
        <v>74453.001219092606</v>
      </c>
      <c r="O12" s="121">
        <f t="shared" si="7"/>
        <v>71287.998446694502</v>
      </c>
    </row>
    <row r="13" spans="1:15" x14ac:dyDescent="0.3">
      <c r="B13" s="126">
        <f>'Q.1 (i)'!B10</f>
        <v>44713</v>
      </c>
      <c r="C13" s="126">
        <f t="shared" si="8"/>
        <v>44805</v>
      </c>
      <c r="D13" s="127">
        <f>VLOOKUP(B13,'Q.1 Data'!$B$5:$C$208,2,FALSE)</f>
        <v>176.2</v>
      </c>
      <c r="E13" s="128"/>
      <c r="F13" s="117">
        <v>4</v>
      </c>
      <c r="G13" s="125">
        <v>46388</v>
      </c>
      <c r="H13" s="119">
        <f t="shared" si="0"/>
        <v>200.4</v>
      </c>
      <c r="I13" s="120">
        <f t="shared" si="2"/>
        <v>1.1264755480607083</v>
      </c>
      <c r="J13" s="121">
        <f t="shared" si="3"/>
        <v>84485.666104553122</v>
      </c>
      <c r="K13" s="121">
        <f t="shared" si="4"/>
        <v>70796.588631035615</v>
      </c>
      <c r="L13" s="119">
        <f t="shared" si="1"/>
        <v>201.6</v>
      </c>
      <c r="M13" s="122">
        <f t="shared" si="5"/>
        <v>0.884920634920635</v>
      </c>
      <c r="N13" s="121">
        <f t="shared" si="6"/>
        <v>74763.10929093392</v>
      </c>
      <c r="O13" s="121">
        <f t="shared" si="7"/>
        <v>71142.062939046707</v>
      </c>
    </row>
    <row r="14" spans="1:15" x14ac:dyDescent="0.3">
      <c r="B14" s="126">
        <f>'Q.1 (i)'!B11</f>
        <v>44743</v>
      </c>
      <c r="C14" s="126">
        <f t="shared" si="8"/>
        <v>44835</v>
      </c>
      <c r="D14" s="127">
        <f>VLOOKUP(B14,'Q.1 Data'!$B$5:$C$208,2,FALSE)</f>
        <v>175.9</v>
      </c>
      <c r="E14" s="128"/>
      <c r="F14" s="117">
        <v>4.5</v>
      </c>
      <c r="G14" s="125">
        <v>46569</v>
      </c>
      <c r="H14" s="119">
        <f t="shared" si="0"/>
        <v>205.4</v>
      </c>
      <c r="I14" s="120">
        <f t="shared" si="2"/>
        <v>1.1545812254075323</v>
      </c>
      <c r="J14" s="121">
        <f t="shared" si="3"/>
        <v>86593.591905564914</v>
      </c>
      <c r="K14" s="121">
        <f t="shared" si="4"/>
        <v>70977.176007749105</v>
      </c>
      <c r="L14" s="119">
        <f t="shared" si="1"/>
        <v>206.1</v>
      </c>
      <c r="M14" s="122">
        <f t="shared" si="5"/>
        <v>0.86559922367782638</v>
      </c>
      <c r="N14" s="121">
        <f t="shared" si="6"/>
        <v>74955.345928931492</v>
      </c>
      <c r="O14" s="121">
        <f t="shared" si="7"/>
        <v>70883.736093551517</v>
      </c>
    </row>
    <row r="15" spans="1:15" x14ac:dyDescent="0.3">
      <c r="B15" s="126">
        <f>'Q.1 (i)'!B12</f>
        <v>44774</v>
      </c>
      <c r="C15" s="126">
        <f t="shared" si="8"/>
        <v>44866</v>
      </c>
      <c r="D15" s="127">
        <f>VLOOKUP(B15,'Q.1 Data'!$B$5:$C$208,2,FALSE)</f>
        <v>176.4</v>
      </c>
      <c r="E15" s="128"/>
      <c r="F15" s="117">
        <v>5</v>
      </c>
      <c r="G15" s="125">
        <v>46753</v>
      </c>
      <c r="H15" s="119">
        <f t="shared" si="0"/>
        <v>208.9</v>
      </c>
      <c r="I15" s="120">
        <f t="shared" si="2"/>
        <v>1.1742551995503092</v>
      </c>
      <c r="J15" s="121">
        <f t="shared" si="3"/>
        <v>88069.139966273186</v>
      </c>
      <c r="K15" s="121">
        <f t="shared" si="4"/>
        <v>70609.051732175649</v>
      </c>
      <c r="L15" s="119">
        <f t="shared" si="1"/>
        <v>209.8</v>
      </c>
      <c r="M15" s="122">
        <f t="shared" si="5"/>
        <v>0.85033365109628212</v>
      </c>
      <c r="N15" s="121">
        <f t="shared" si="6"/>
        <v>74888.15333643058</v>
      </c>
      <c r="O15" s="121">
        <f t="shared" si="7"/>
        <v>70382.063585011201</v>
      </c>
    </row>
    <row r="16" spans="1:15" x14ac:dyDescent="0.3">
      <c r="B16" s="126">
        <f>'Q.1 (i)'!B13</f>
        <v>44805</v>
      </c>
      <c r="C16" s="126">
        <f t="shared" si="8"/>
        <v>44896</v>
      </c>
      <c r="D16" s="127">
        <f>VLOOKUP(B16,'Q.1 Data'!$B$5:$C$208,2,FALSE)</f>
        <v>177.6</v>
      </c>
      <c r="E16" s="128"/>
      <c r="F16" s="117">
        <v>5.5</v>
      </c>
      <c r="G16" s="125">
        <v>46935</v>
      </c>
      <c r="H16" s="119">
        <f t="shared" si="0"/>
        <v>214</v>
      </c>
      <c r="I16" s="120">
        <f t="shared" si="2"/>
        <v>1.2029229904440697</v>
      </c>
      <c r="J16" s="121">
        <f t="shared" si="3"/>
        <v>90219.22428330523</v>
      </c>
      <c r="K16" s="121">
        <f t="shared" si="4"/>
        <v>70752.106524628922</v>
      </c>
      <c r="L16" s="119">
        <f t="shared" si="1"/>
        <v>216.5</v>
      </c>
      <c r="M16" s="122">
        <f t="shared" si="5"/>
        <v>0.82401847575057741</v>
      </c>
      <c r="N16" s="121">
        <f t="shared" si="6"/>
        <v>74342.307677328659</v>
      </c>
      <c r="O16" s="121">
        <f t="shared" si="7"/>
        <v>69436.816301361774</v>
      </c>
    </row>
    <row r="17" spans="2:15" x14ac:dyDescent="0.3">
      <c r="B17" s="126">
        <f>'Q.1 (i)'!B14</f>
        <v>44835</v>
      </c>
      <c r="C17" s="126">
        <f t="shared" si="8"/>
        <v>44927</v>
      </c>
      <c r="D17" s="127">
        <f>VLOOKUP(B17,'Q.1 Data'!$B$5:$C$208,2,FALSE)</f>
        <v>177.9</v>
      </c>
      <c r="E17" s="128"/>
      <c r="F17" s="117">
        <v>6</v>
      </c>
      <c r="G17" s="111">
        <v>47119</v>
      </c>
      <c r="H17" s="119">
        <f t="shared" si="0"/>
        <v>217.7</v>
      </c>
      <c r="I17" s="120">
        <f t="shared" si="2"/>
        <v>1.2237211916807194</v>
      </c>
      <c r="J17" s="121">
        <f t="shared" si="3"/>
        <v>91779.089376053947</v>
      </c>
      <c r="K17" s="121">
        <f t="shared" si="4"/>
        <v>70402.437034644347</v>
      </c>
      <c r="L17" s="119">
        <f t="shared" si="1"/>
        <v>210.1</v>
      </c>
      <c r="M17" s="122">
        <f t="shared" si="5"/>
        <v>0.8491194669205141</v>
      </c>
      <c r="N17" s="121">
        <f t="shared" si="6"/>
        <v>77931.411445445148</v>
      </c>
      <c r="O17" s="121">
        <f t="shared" si="7"/>
        <v>72338.781908797086</v>
      </c>
    </row>
    <row r="18" spans="2:15" x14ac:dyDescent="0.3">
      <c r="B18" s="126">
        <f>'Q.1 (i)'!B15</f>
        <v>44866</v>
      </c>
      <c r="C18" s="126">
        <f t="shared" si="8"/>
        <v>44958</v>
      </c>
      <c r="D18" s="127">
        <f>VLOOKUP(B18,'Q.1 Data'!$B$5:$C$208,2,FALSE)</f>
        <v>178.2</v>
      </c>
      <c r="E18" s="128"/>
      <c r="F18" s="117">
        <v>6.5</v>
      </c>
      <c r="G18" s="118">
        <v>47300</v>
      </c>
      <c r="H18" s="119">
        <f t="shared" si="0"/>
        <v>211.5</v>
      </c>
      <c r="I18" s="120">
        <f t="shared" si="2"/>
        <v>1.1888701517706577</v>
      </c>
      <c r="J18" s="121">
        <f t="shared" si="3"/>
        <v>89165.261382799334</v>
      </c>
      <c r="K18" s="121">
        <f t="shared" si="4"/>
        <v>66902.646528147859</v>
      </c>
      <c r="L18" s="119">
        <f t="shared" si="1"/>
        <v>213.4</v>
      </c>
      <c r="M18" s="122">
        <f t="shared" si="5"/>
        <v>0.83598875351452673</v>
      </c>
      <c r="N18" s="121">
        <f t="shared" si="6"/>
        <v>74541.155720203387</v>
      </c>
      <c r="O18" s="121">
        <f t="shared" si="7"/>
        <v>68763.766825825805</v>
      </c>
    </row>
    <row r="19" spans="2:15" x14ac:dyDescent="0.3">
      <c r="B19" s="126">
        <f>'Q.1 (i)'!B16</f>
        <v>44896</v>
      </c>
      <c r="C19" s="126">
        <f t="shared" si="8"/>
        <v>44986</v>
      </c>
      <c r="D19" s="127">
        <f>VLOOKUP(B19,'Q.1 Data'!$B$5:$C$208,2,FALSE)</f>
        <v>178.5</v>
      </c>
      <c r="E19" s="128"/>
      <c r="F19" s="117">
        <v>7</v>
      </c>
      <c r="G19" s="125">
        <v>47484</v>
      </c>
      <c r="H19" s="119">
        <f>VLOOKUP(G19,$C$8:$D$220,2,FALSE)</f>
        <v>216</v>
      </c>
      <c r="I19" s="120">
        <f t="shared" si="2"/>
        <v>1.2141652613827993</v>
      </c>
      <c r="J19" s="121">
        <f t="shared" si="3"/>
        <v>91062.394603709952</v>
      </c>
      <c r="K19" s="121">
        <f t="shared" si="4"/>
        <v>66832.905131593958</v>
      </c>
      <c r="L19" s="119">
        <f>VLOOKUP(G19,$B$8:$D$220,3,FALSE)</f>
        <v>217.9</v>
      </c>
      <c r="M19" s="122">
        <f t="shared" si="5"/>
        <v>0.81872418540614966</v>
      </c>
      <c r="N19" s="121">
        <f t="shared" si="6"/>
        <v>74554.98484305579</v>
      </c>
      <c r="O19" s="121">
        <f t="shared" si="7"/>
        <v>68351.037440001819</v>
      </c>
    </row>
    <row r="20" spans="2:15" x14ac:dyDescent="0.3">
      <c r="B20" s="126">
        <f>'Q.1 (i)'!B17</f>
        <v>44927</v>
      </c>
      <c r="C20" s="126">
        <f t="shared" si="8"/>
        <v>45017</v>
      </c>
      <c r="D20" s="127">
        <f>VLOOKUP(B20,'Q.1 Data'!$B$5:$C$208,2,FALSE)</f>
        <v>178.4</v>
      </c>
      <c r="E20" s="128"/>
      <c r="F20" s="117">
        <v>7.5</v>
      </c>
      <c r="G20" s="125">
        <v>47665</v>
      </c>
      <c r="H20" s="119">
        <f>VLOOKUP(G20,$C$8:$D$220,2,FALSE)</f>
        <v>222.8</v>
      </c>
      <c r="I20" s="120">
        <f t="shared" si="2"/>
        <v>1.2523889825744801</v>
      </c>
      <c r="J20" s="121">
        <f t="shared" si="3"/>
        <v>93929.173693086006</v>
      </c>
      <c r="K20" s="121">
        <f t="shared" si="4"/>
        <v>67430.353651564932</v>
      </c>
      <c r="L20" s="119">
        <f>VLOOKUP(G20,$B$8:$D$220,3,FALSE)</f>
        <v>223.6</v>
      </c>
      <c r="M20" s="122">
        <f t="shared" si="5"/>
        <v>0.79785330948121647</v>
      </c>
      <c r="N20" s="121">
        <f t="shared" si="6"/>
        <v>74941.702087864687</v>
      </c>
      <c r="O20" s="121">
        <f t="shared" si="7"/>
        <v>68280.527025369433</v>
      </c>
    </row>
    <row r="21" spans="2:15" x14ac:dyDescent="0.3">
      <c r="B21" s="126">
        <f>'Q.1 (i)'!B18</f>
        <v>44958</v>
      </c>
      <c r="C21" s="126">
        <f t="shared" si="8"/>
        <v>45047</v>
      </c>
      <c r="D21" s="127">
        <f>VLOOKUP(B21,'Q.1 Data'!$B$5:$C$208,2,FALSE)</f>
        <v>179.3</v>
      </c>
      <c r="E21" s="128"/>
      <c r="F21" s="117">
        <v>8</v>
      </c>
      <c r="G21" s="125">
        <v>47849</v>
      </c>
      <c r="H21" s="119">
        <f>VLOOKUP(G21,$C$8:$D$220,2,FALSE)</f>
        <v>225.8</v>
      </c>
      <c r="I21" s="120">
        <f t="shared" si="2"/>
        <v>1.2692523889825744</v>
      </c>
      <c r="J21" s="121">
        <f t="shared" si="3"/>
        <v>95193.929173693075</v>
      </c>
      <c r="K21" s="121">
        <f t="shared" si="4"/>
        <v>66844.834272550957</v>
      </c>
      <c r="L21" s="119">
        <f>VLOOKUP(G21,$B$8:$D$220,3,FALSE)</f>
        <v>229</v>
      </c>
      <c r="M21" s="122">
        <f t="shared" si="5"/>
        <v>0.77903930131004373</v>
      </c>
      <c r="N21" s="121">
        <f t="shared" si="6"/>
        <v>74159.81207243164</v>
      </c>
      <c r="O21" s="121">
        <f t="shared" si="7"/>
        <v>67150.124157372906</v>
      </c>
    </row>
    <row r="22" spans="2:15" x14ac:dyDescent="0.3">
      <c r="B22" s="126">
        <f>'Q.1 (i)'!B19</f>
        <v>44986</v>
      </c>
      <c r="C22" s="126">
        <f t="shared" si="8"/>
        <v>45078</v>
      </c>
      <c r="D22" s="127">
        <f>VLOOKUP(B22,'Q.1 Data'!$B$5:$C$208,2,FALSE)</f>
        <v>179.9</v>
      </c>
      <c r="E22" s="128"/>
      <c r="F22" s="117">
        <v>8.5</v>
      </c>
      <c r="G22" s="125">
        <v>48030</v>
      </c>
      <c r="H22" s="119">
        <f>VLOOKUP(G22,$C$8:$D$220,2,FALSE)</f>
        <v>234.4</v>
      </c>
      <c r="I22" s="120">
        <f t="shared" si="2"/>
        <v>1.3175941540191118</v>
      </c>
      <c r="J22" s="121">
        <f t="shared" si="3"/>
        <v>98819.561551433391</v>
      </c>
      <c r="K22" s="121">
        <f t="shared" si="4"/>
        <v>67874.271767690807</v>
      </c>
      <c r="L22" s="119">
        <f>VLOOKUP(G22,$B$8:$D$220,3,FALSE)</f>
        <v>234.7</v>
      </c>
      <c r="M22" s="122">
        <f t="shared" si="5"/>
        <v>0.76011930123561999</v>
      </c>
      <c r="N22" s="121">
        <f t="shared" si="6"/>
        <v>75114.65607488589</v>
      </c>
      <c r="O22" s="121">
        <f t="shared" si="7"/>
        <v>67593.941256880411</v>
      </c>
    </row>
    <row r="23" spans="2:15" x14ac:dyDescent="0.3">
      <c r="B23" s="126">
        <f>'Q.1 (i)'!B20</f>
        <v>45017</v>
      </c>
      <c r="C23" s="126">
        <f t="shared" si="8"/>
        <v>45108</v>
      </c>
      <c r="D23" s="127">
        <f>VLOOKUP(B23,'Q.1 Data'!$B$5:$C$208,2,FALSE)</f>
        <v>181.2</v>
      </c>
      <c r="E23" s="128"/>
      <c r="F23" s="117">
        <v>9</v>
      </c>
      <c r="G23" s="111">
        <v>48214</v>
      </c>
      <c r="H23" s="119">
        <f t="shared" si="0"/>
        <v>238</v>
      </c>
      <c r="I23" s="120">
        <f t="shared" si="2"/>
        <v>1.337830241708825</v>
      </c>
      <c r="J23" s="121">
        <f t="shared" si="3"/>
        <v>100337.26812816187</v>
      </c>
      <c r="K23" s="121">
        <f t="shared" si="4"/>
        <v>67410.600377330586</v>
      </c>
      <c r="L23" s="119">
        <f t="shared" si="1"/>
        <v>238</v>
      </c>
      <c r="M23" s="122">
        <f t="shared" si="5"/>
        <v>0.74957983193277311</v>
      </c>
      <c r="N23" s="121">
        <f t="shared" si="6"/>
        <v>75210.792580101173</v>
      </c>
      <c r="O23" s="121">
        <f t="shared" si="7"/>
        <v>67261.746465142322</v>
      </c>
    </row>
    <row r="24" spans="2:15" x14ac:dyDescent="0.3">
      <c r="B24" s="126">
        <f>'Q.1 (i)'!B21</f>
        <v>45047</v>
      </c>
      <c r="C24" s="126">
        <f t="shared" si="8"/>
        <v>45139</v>
      </c>
      <c r="D24" s="127">
        <f>VLOOKUP(B24,'Q.1 Data'!$B$5:$C$208,2,FALSE)</f>
        <v>181.5</v>
      </c>
      <c r="E24" s="128"/>
      <c r="F24" s="117">
        <v>9.5</v>
      </c>
      <c r="G24" s="118">
        <v>48396</v>
      </c>
      <c r="H24" s="119">
        <f t="shared" si="0"/>
        <v>242.5</v>
      </c>
      <c r="I24" s="120">
        <f t="shared" si="2"/>
        <v>1.3631253513209667</v>
      </c>
      <c r="J24" s="121">
        <f t="shared" si="3"/>
        <v>102234.4013490725</v>
      </c>
      <c r="K24" s="121">
        <f t="shared" si="4"/>
        <v>67184.121601792212</v>
      </c>
      <c r="L24" s="119">
        <f t="shared" si="1"/>
        <v>242.1</v>
      </c>
      <c r="M24" s="122">
        <f t="shared" si="5"/>
        <v>0.73688558446922758</v>
      </c>
      <c r="N24" s="121">
        <f t="shared" si="6"/>
        <v>75335.056590972876</v>
      </c>
      <c r="O24" s="121">
        <f t="shared" si="7"/>
        <v>66956.073992843885</v>
      </c>
    </row>
    <row r="25" spans="2:15" x14ac:dyDescent="0.3">
      <c r="B25" s="126">
        <f>'Q.1 (i)'!B22</f>
        <v>45078</v>
      </c>
      <c r="C25" s="126">
        <f t="shared" si="8"/>
        <v>45170</v>
      </c>
      <c r="D25" s="127">
        <f>VLOOKUP(B25,'Q.1 Data'!$B$5:$C$208,2,FALSE)</f>
        <v>181.3</v>
      </c>
      <c r="E25" s="128"/>
      <c r="F25" s="117">
        <v>10</v>
      </c>
      <c r="G25" s="125">
        <v>48761</v>
      </c>
      <c r="H25" s="119">
        <f t="shared" si="0"/>
        <v>249.5</v>
      </c>
      <c r="I25" s="120">
        <f t="shared" si="2"/>
        <v>1.4024732996065206</v>
      </c>
      <c r="J25" s="121">
        <f t="shared" si="3"/>
        <v>105185.49747048905</v>
      </c>
      <c r="K25" s="121">
        <f t="shared" si="4"/>
        <v>67612.829785768467</v>
      </c>
      <c r="L25" s="119">
        <f t="shared" si="1"/>
        <v>249.7</v>
      </c>
      <c r="M25" s="122">
        <f t="shared" si="5"/>
        <v>0.71445734881858236</v>
      </c>
      <c r="N25" s="121">
        <f t="shared" si="6"/>
        <v>75150.55165692931</v>
      </c>
      <c r="O25" s="121">
        <f t="shared" si="7"/>
        <v>66378.88028264638</v>
      </c>
    </row>
    <row r="26" spans="2:15" x14ac:dyDescent="0.3">
      <c r="B26" s="126">
        <f>'Q.1 (i)'!B23</f>
        <v>45108</v>
      </c>
      <c r="C26" s="126">
        <f t="shared" si="8"/>
        <v>45200</v>
      </c>
      <c r="D26" s="127">
        <f>VLOOKUP(B26,'Q.1 Data'!$B$5:$C$208,2,FALSE)</f>
        <v>181.3</v>
      </c>
      <c r="E26" s="128"/>
      <c r="F26" s="117">
        <v>10.5</v>
      </c>
      <c r="G26" s="125">
        <v>48580</v>
      </c>
      <c r="H26" s="119">
        <f t="shared" si="0"/>
        <v>245.6</v>
      </c>
      <c r="I26" s="120">
        <f t="shared" si="2"/>
        <v>1.3805508712759977</v>
      </c>
      <c r="J26" s="121">
        <f t="shared" si="3"/>
        <v>103541.31534569983</v>
      </c>
      <c r="K26" s="121">
        <f t="shared" si="4"/>
        <v>65101.438899984722</v>
      </c>
      <c r="L26" s="119">
        <f t="shared" si="1"/>
        <v>245.8</v>
      </c>
      <c r="M26" s="122">
        <f t="shared" si="5"/>
        <v>0.72579332790886897</v>
      </c>
      <c r="N26" s="121">
        <f t="shared" si="6"/>
        <v>75149.595840817114</v>
      </c>
      <c r="O26" s="121">
        <f t="shared" si="7"/>
        <v>65967.387633325052</v>
      </c>
    </row>
    <row r="27" spans="2:15" x14ac:dyDescent="0.3">
      <c r="B27" s="126">
        <f>'Q.1 (i)'!B24</f>
        <v>45139</v>
      </c>
      <c r="C27" s="126">
        <f t="shared" si="8"/>
        <v>45231</v>
      </c>
      <c r="D27" s="127">
        <f>VLOOKUP(B27,'Q.1 Data'!$B$5:$C$208,2,FALSE)</f>
        <v>181.6</v>
      </c>
      <c r="E27" s="128"/>
      <c r="F27" s="117">
        <v>11</v>
      </c>
      <c r="G27" s="125">
        <v>49126</v>
      </c>
      <c r="H27" s="119">
        <f t="shared" si="0"/>
        <v>255.7</v>
      </c>
      <c r="I27" s="120">
        <f t="shared" si="2"/>
        <v>1.4373243395165822</v>
      </c>
      <c r="J27" s="121">
        <f t="shared" si="3"/>
        <v>107799.32546374366</v>
      </c>
      <c r="K27" s="121">
        <f t="shared" si="4"/>
        <v>66297.418113243912</v>
      </c>
      <c r="L27" s="119">
        <f t="shared" si="1"/>
        <v>256</v>
      </c>
      <c r="M27" s="122">
        <f t="shared" si="5"/>
        <v>0.69687500000000002</v>
      </c>
      <c r="N27" s="121">
        <f t="shared" si="6"/>
        <v>75122.654932546371</v>
      </c>
      <c r="O27" s="121">
        <f t="shared" si="7"/>
        <v>65535.776908250904</v>
      </c>
    </row>
    <row r="28" spans="2:15" x14ac:dyDescent="0.3">
      <c r="B28" s="126">
        <f>'Q.1 (i)'!B25</f>
        <v>45170</v>
      </c>
      <c r="C28" s="126">
        <f t="shared" si="8"/>
        <v>45261</v>
      </c>
      <c r="D28" s="127">
        <f>VLOOKUP(B28,'Q.1 Data'!$B$5:$C$208,2,FALSE)</f>
        <v>182.5</v>
      </c>
      <c r="E28" s="128"/>
      <c r="F28" s="117">
        <v>11.5</v>
      </c>
      <c r="G28" s="125">
        <v>48945</v>
      </c>
      <c r="H28" s="119">
        <f t="shared" si="0"/>
        <v>251.9</v>
      </c>
      <c r="I28" s="120">
        <f t="shared" si="2"/>
        <v>1.4159640247329961</v>
      </c>
      <c r="J28" s="121">
        <f t="shared" si="3"/>
        <v>106197.30185497471</v>
      </c>
      <c r="K28" s="121">
        <f t="shared" si="4"/>
        <v>63884.826169306987</v>
      </c>
      <c r="L28" s="119">
        <f t="shared" si="1"/>
        <v>252.6</v>
      </c>
      <c r="M28" s="122">
        <f t="shared" si="5"/>
        <v>0.70625494853523363</v>
      </c>
      <c r="N28" s="121">
        <f t="shared" si="6"/>
        <v>75002.369956165829</v>
      </c>
      <c r="O28" s="121">
        <f t="shared" si="7"/>
        <v>65026.053686518404</v>
      </c>
    </row>
    <row r="29" spans="2:15" x14ac:dyDescent="0.3">
      <c r="B29" s="126">
        <f>'Q.1 (i)'!B26</f>
        <v>45200</v>
      </c>
      <c r="C29" s="126">
        <f t="shared" si="8"/>
        <v>45292</v>
      </c>
      <c r="D29" s="127">
        <f>VLOOKUP(B29,'Q.1 Data'!$B$5:$C$208,2,FALSE)</f>
        <v>182.6</v>
      </c>
      <c r="E29" s="128"/>
      <c r="F29" s="117">
        <v>12</v>
      </c>
      <c r="G29" s="111">
        <v>49310</v>
      </c>
      <c r="H29" s="119">
        <f t="shared" si="0"/>
        <v>257.7</v>
      </c>
      <c r="I29" s="120">
        <f t="shared" si="2"/>
        <v>1.4485666104553119</v>
      </c>
      <c r="J29" s="121">
        <f t="shared" si="3"/>
        <v>108642.49578414838</v>
      </c>
      <c r="K29" s="121">
        <f t="shared" si="4"/>
        <v>63927.48674390724</v>
      </c>
      <c r="L29" s="119">
        <f t="shared" si="1"/>
        <v>255.4</v>
      </c>
      <c r="M29" s="122">
        <f t="shared" si="5"/>
        <v>0.69851213782302268</v>
      </c>
      <c r="N29" s="121">
        <f t="shared" si="6"/>
        <v>75888.101988614217</v>
      </c>
      <c r="O29" s="121">
        <f t="shared" si="7"/>
        <v>65386.936460309145</v>
      </c>
    </row>
    <row r="30" spans="2:15" x14ac:dyDescent="0.3">
      <c r="B30" s="126">
        <f>'Q.1 (i)'!B27</f>
        <v>45231</v>
      </c>
      <c r="C30" s="126">
        <f t="shared" si="8"/>
        <v>45323</v>
      </c>
      <c r="D30" s="127">
        <f>VLOOKUP(B30,'Q.1 Data'!$B$5:$C$208,2,FALSE)</f>
        <v>182.7</v>
      </c>
      <c r="E30" s="128"/>
      <c r="F30" s="117">
        <v>12.5</v>
      </c>
      <c r="G30" s="118">
        <v>49491</v>
      </c>
      <c r="H30" s="119">
        <f t="shared" si="0"/>
        <v>258</v>
      </c>
      <c r="I30" s="120">
        <f t="shared" si="2"/>
        <v>1.4502529510961213</v>
      </c>
      <c r="J30" s="121">
        <f t="shared" si="3"/>
        <v>108768.9713322091</v>
      </c>
      <c r="K30" s="121">
        <f t="shared" si="4"/>
        <v>62603.20686568597</v>
      </c>
      <c r="L30" s="119">
        <f t="shared" si="1"/>
        <v>258.60000000000002</v>
      </c>
      <c r="M30" s="122">
        <f t="shared" si="5"/>
        <v>0.68986852281515854</v>
      </c>
      <c r="N30" s="121">
        <f t="shared" si="6"/>
        <v>75036.289581075413</v>
      </c>
      <c r="O30" s="121">
        <f t="shared" si="7"/>
        <v>64253.018856726761</v>
      </c>
    </row>
    <row r="31" spans="2:15" x14ac:dyDescent="0.3">
      <c r="B31" s="126">
        <f>'Q.1 (i)'!B28</f>
        <v>45261</v>
      </c>
      <c r="C31" s="126">
        <f t="shared" si="8"/>
        <v>45352</v>
      </c>
      <c r="D31" s="127">
        <f>VLOOKUP(B31,'Q.1 Data'!$B$5:$C$208,2,FALSE)</f>
        <v>183.5</v>
      </c>
      <c r="E31" s="128"/>
      <c r="F31" s="117">
        <v>13</v>
      </c>
      <c r="G31" s="125">
        <v>49675</v>
      </c>
      <c r="H31" s="119">
        <f t="shared" si="0"/>
        <v>259.5</v>
      </c>
      <c r="I31" s="120">
        <f t="shared" si="2"/>
        <v>1.4586846543001686</v>
      </c>
      <c r="J31" s="121">
        <f t="shared" si="3"/>
        <v>109401.34907251265</v>
      </c>
      <c r="K31" s="121">
        <f t="shared" si="4"/>
        <v>61591.091304490343</v>
      </c>
      <c r="L31" s="119">
        <f t="shared" si="1"/>
        <v>258.8</v>
      </c>
      <c r="M31" s="122">
        <f t="shared" si="5"/>
        <v>0.68933539412673883</v>
      </c>
      <c r="N31" s="121">
        <f t="shared" si="6"/>
        <v>75414.222080897438</v>
      </c>
      <c r="O31" s="121">
        <f t="shared" si="7"/>
        <v>64177.135616114072</v>
      </c>
    </row>
    <row r="32" spans="2:15" x14ac:dyDescent="0.3">
      <c r="B32" s="126">
        <f>'Q.1 (i)'!B29</f>
        <v>45292</v>
      </c>
      <c r="C32" s="126">
        <f t="shared" si="8"/>
        <v>45383</v>
      </c>
      <c r="D32" s="127">
        <f>VLOOKUP(B32,'Q.1 Data'!$B$5:$C$208,2,FALSE)</f>
        <v>183.1</v>
      </c>
      <c r="E32" s="128"/>
      <c r="F32" s="117">
        <v>13.5</v>
      </c>
      <c r="G32" s="125">
        <v>49857</v>
      </c>
      <c r="H32" s="119">
        <f t="shared" si="0"/>
        <v>261.39999999999998</v>
      </c>
      <c r="I32" s="120">
        <f t="shared" si="2"/>
        <v>1.4693648116919615</v>
      </c>
      <c r="J32" s="121">
        <f t="shared" si="3"/>
        <v>110202.36087689712</v>
      </c>
      <c r="K32" s="121">
        <f t="shared" si="4"/>
        <v>60686.17744983032</v>
      </c>
      <c r="L32" s="119">
        <f t="shared" si="1"/>
        <v>263.39999999999998</v>
      </c>
      <c r="M32" s="122">
        <f t="shared" si="5"/>
        <v>0.67729688686408507</v>
      </c>
      <c r="N32" s="121">
        <f t="shared" si="6"/>
        <v>74639.715946994867</v>
      </c>
      <c r="O32" s="121">
        <f t="shared" si="7"/>
        <v>63125.079699397742</v>
      </c>
    </row>
    <row r="33" spans="2:15" x14ac:dyDescent="0.3">
      <c r="B33" s="126">
        <f>'Q.1 (i)'!B30</f>
        <v>45323</v>
      </c>
      <c r="C33" s="126">
        <f t="shared" si="8"/>
        <v>45413</v>
      </c>
      <c r="D33" s="127">
        <f>VLOOKUP(B33,'Q.1 Data'!$B$5:$C$208,2,FALSE)</f>
        <v>183.8</v>
      </c>
      <c r="E33" s="128"/>
      <c r="F33" s="117">
        <v>14</v>
      </c>
      <c r="G33" s="125">
        <v>50041</v>
      </c>
      <c r="H33" s="119">
        <f t="shared" si="0"/>
        <v>264.8</v>
      </c>
      <c r="I33" s="120">
        <f t="shared" si="2"/>
        <v>1.4884766722878022</v>
      </c>
      <c r="J33" s="121">
        <f t="shared" si="3"/>
        <v>111635.75042158517</v>
      </c>
      <c r="K33" s="121">
        <f t="shared" si="4"/>
        <v>60132.026828694798</v>
      </c>
      <c r="L33" s="119">
        <f t="shared" si="1"/>
        <v>265.5</v>
      </c>
      <c r="M33" s="122">
        <f t="shared" si="5"/>
        <v>0.67193973634651605</v>
      </c>
      <c r="N33" s="121">
        <f t="shared" si="6"/>
        <v>75012.496705125406</v>
      </c>
      <c r="O33" s="121">
        <f t="shared" si="7"/>
        <v>63047.877350006449</v>
      </c>
    </row>
    <row r="34" spans="2:15" x14ac:dyDescent="0.3">
      <c r="B34" s="126">
        <f>'Q.1 (i)'!B31</f>
        <v>45352</v>
      </c>
      <c r="C34" s="126">
        <f t="shared" si="8"/>
        <v>45444</v>
      </c>
      <c r="D34" s="127">
        <f>VLOOKUP(B34,'Q.1 Data'!$B$5:$C$208,2,FALSE)</f>
        <v>184.6</v>
      </c>
      <c r="E34" s="128"/>
      <c r="F34" s="117">
        <v>14.5</v>
      </c>
      <c r="G34" s="125">
        <v>50222</v>
      </c>
      <c r="H34" s="119">
        <f t="shared" si="0"/>
        <v>270.60000000000002</v>
      </c>
      <c r="I34" s="120">
        <f t="shared" si="2"/>
        <v>1.5210792580101182</v>
      </c>
      <c r="J34" s="121">
        <f t="shared" si="3"/>
        <v>114080.94435075887</v>
      </c>
      <c r="K34" s="121">
        <f t="shared" si="4"/>
        <v>60106.206132057843</v>
      </c>
      <c r="L34" s="119">
        <f t="shared" si="1"/>
        <v>272.89999999999998</v>
      </c>
      <c r="M34" s="122">
        <f t="shared" si="5"/>
        <v>0.65371931110296821</v>
      </c>
      <c r="N34" s="121">
        <f t="shared" si="6"/>
        <v>74576.916350954139</v>
      </c>
      <c r="O34" s="121">
        <f t="shared" si="7"/>
        <v>62293.991367643721</v>
      </c>
    </row>
    <row r="35" spans="2:15" x14ac:dyDescent="0.3">
      <c r="B35" s="126">
        <f>'Q.1 (i)'!B32</f>
        <v>45383</v>
      </c>
      <c r="C35" s="126">
        <f t="shared" si="8"/>
        <v>45474</v>
      </c>
      <c r="D35" s="127">
        <f>VLOOKUP(B35,'Q.1 Data'!$B$5:$C$208,2,FALSE)</f>
        <v>185.7</v>
      </c>
      <c r="E35" s="128"/>
      <c r="F35" s="129">
        <v>15</v>
      </c>
      <c r="G35" s="111">
        <v>50406</v>
      </c>
      <c r="H35" s="130">
        <f t="shared" si="0"/>
        <v>275.3</v>
      </c>
      <c r="I35" s="131">
        <f t="shared" si="2"/>
        <v>1.5474985947161326</v>
      </c>
      <c r="J35" s="132">
        <f>$C$4*$C$5*I35/2+$C$4*$C$6*I35</f>
        <v>15591048.341765037</v>
      </c>
      <c r="K35" s="132">
        <f t="shared" si="4"/>
        <v>8034987.201806305</v>
      </c>
      <c r="L35" s="130">
        <f t="shared" si="1"/>
        <v>288.10000000000002</v>
      </c>
      <c r="M35" s="133">
        <f t="shared" si="5"/>
        <v>0.61922943422422771</v>
      </c>
      <c r="N35" s="132">
        <f t="shared" si="6"/>
        <v>9654436.0436337478</v>
      </c>
      <c r="O35" s="132">
        <f t="shared" si="7"/>
        <v>8014446.4928930514</v>
      </c>
    </row>
    <row r="36" spans="2:15" x14ac:dyDescent="0.3">
      <c r="B36" s="126">
        <f>'Q.1 (i)'!B33</f>
        <v>45413</v>
      </c>
      <c r="C36" s="126">
        <f t="shared" si="8"/>
        <v>45505</v>
      </c>
      <c r="D36" s="127">
        <f>VLOOKUP(B36,'Q.1 Data'!$B$5:$C$208,2,FALSE)</f>
        <v>186.5</v>
      </c>
      <c r="E36" s="128"/>
      <c r="H36" s="98"/>
      <c r="I36" s="98"/>
      <c r="J36" s="98"/>
      <c r="K36" s="98"/>
      <c r="L36" s="98"/>
      <c r="M36" s="98"/>
      <c r="N36" s="98"/>
      <c r="O36" s="98"/>
    </row>
    <row r="37" spans="2:15" x14ac:dyDescent="0.3">
      <c r="B37" s="126">
        <f>'Q.1 (i)'!B34</f>
        <v>45444</v>
      </c>
      <c r="C37" s="126">
        <f t="shared" si="8"/>
        <v>45536</v>
      </c>
      <c r="D37" s="127">
        <f>VLOOKUP(B37,'Q.1 Data'!$B$5:$C$208,2,FALSE)</f>
        <v>186.8</v>
      </c>
      <c r="E37" s="128"/>
    </row>
    <row r="38" spans="2:15" x14ac:dyDescent="0.3">
      <c r="B38" s="126">
        <f>'Q.1 (i)'!B35</f>
        <v>45474</v>
      </c>
      <c r="C38" s="126">
        <f t="shared" si="8"/>
        <v>45566</v>
      </c>
      <c r="D38" s="127">
        <f>VLOOKUP(B38,'Q.1 Data'!$B$5:$C$208,2,FALSE)</f>
        <v>186.8</v>
      </c>
      <c r="E38" s="128"/>
      <c r="J38" s="108" t="s">
        <v>18</v>
      </c>
      <c r="K38" s="132">
        <f>SUM(K6:K35)</f>
        <v>10000044.628822371</v>
      </c>
      <c r="N38" s="108" t="s">
        <v>18</v>
      </c>
      <c r="O38" s="132">
        <f>SUM(O6:O35)</f>
        <v>10000000.654334828</v>
      </c>
    </row>
    <row r="39" spans="2:15" x14ac:dyDescent="0.3">
      <c r="B39" s="126">
        <f>'Q.1 (i)'!B36</f>
        <v>45505</v>
      </c>
      <c r="C39" s="126">
        <f t="shared" si="8"/>
        <v>45597</v>
      </c>
      <c r="D39" s="127">
        <f>VLOOKUP(B39,'Q.1 Data'!$B$5:$C$208,2,FALSE)</f>
        <v>187.4</v>
      </c>
      <c r="E39" s="128"/>
      <c r="J39" s="108" t="s">
        <v>19</v>
      </c>
      <c r="K39" s="134">
        <v>4.5183813389024802E-2</v>
      </c>
      <c r="N39" s="108" t="s">
        <v>20</v>
      </c>
      <c r="O39" s="134">
        <v>1.2488793618372171E-2</v>
      </c>
    </row>
    <row r="40" spans="2:15" x14ac:dyDescent="0.3">
      <c r="B40" s="126">
        <f>'Q.1 (i)'!B37</f>
        <v>45536</v>
      </c>
      <c r="C40" s="126">
        <f t="shared" si="8"/>
        <v>45627</v>
      </c>
      <c r="D40" s="127">
        <f>VLOOKUP(B40,'Q.1 Data'!$B$5:$C$208,2,FALSE)</f>
        <v>188.1</v>
      </c>
      <c r="E40" s="128"/>
      <c r="K40" s="98"/>
      <c r="M40" s="135"/>
      <c r="N40" s="135"/>
      <c r="O40" s="98"/>
    </row>
    <row r="41" spans="2:15" x14ac:dyDescent="0.3">
      <c r="B41" s="126">
        <f>'Q.1 (i)'!B38</f>
        <v>45566</v>
      </c>
      <c r="C41" s="126">
        <f t="shared" si="8"/>
        <v>45658</v>
      </c>
      <c r="D41" s="127">
        <f>VLOOKUP(B41,'Q.1 Data'!$B$5:$C$208,2,FALSE)</f>
        <v>188.6</v>
      </c>
      <c r="E41" s="128"/>
    </row>
    <row r="42" spans="2:15" x14ac:dyDescent="0.3">
      <c r="B42" s="126">
        <f>'Q.1 (i)'!B39</f>
        <v>45597</v>
      </c>
      <c r="C42" s="126">
        <f t="shared" si="8"/>
        <v>45689</v>
      </c>
      <c r="D42" s="127">
        <f>VLOOKUP(B42,'Q.1 Data'!$B$5:$C$208,2,FALSE)</f>
        <v>189</v>
      </c>
      <c r="E42" s="128"/>
      <c r="K42" s="136"/>
    </row>
    <row r="43" spans="2:15" x14ac:dyDescent="0.3">
      <c r="B43" s="126">
        <f>'Q.1 (i)'!B40</f>
        <v>45627</v>
      </c>
      <c r="C43" s="126">
        <f t="shared" si="8"/>
        <v>45717</v>
      </c>
      <c r="D43" s="127">
        <f>VLOOKUP(B43,'Q.1 Data'!$B$5:$C$208,2,FALSE)</f>
        <v>189.9</v>
      </c>
      <c r="E43" s="128"/>
    </row>
    <row r="44" spans="2:15" x14ac:dyDescent="0.3">
      <c r="B44" s="126">
        <f>'Q.1 (i)'!B41</f>
        <v>45658</v>
      </c>
      <c r="C44" s="126">
        <f t="shared" si="8"/>
        <v>45748</v>
      </c>
      <c r="D44" s="127">
        <f>VLOOKUP(B44,'Q.1 Data'!$B$5:$C$208,2,FALSE)</f>
        <v>188.9</v>
      </c>
      <c r="E44" s="128"/>
    </row>
    <row r="45" spans="2:15" x14ac:dyDescent="0.3">
      <c r="B45" s="126">
        <f>'Q.1 (i)'!B42</f>
        <v>45689</v>
      </c>
      <c r="C45" s="126">
        <f t="shared" si="8"/>
        <v>45778</v>
      </c>
      <c r="D45" s="127">
        <f>VLOOKUP(B45,'Q.1 Data'!$B$5:$C$208,2,FALSE)</f>
        <v>189.6</v>
      </c>
      <c r="E45" s="128"/>
    </row>
    <row r="46" spans="2:15" x14ac:dyDescent="0.3">
      <c r="B46" s="126">
        <f>'Q.1 (i)'!B43</f>
        <v>45717</v>
      </c>
      <c r="C46" s="126">
        <f t="shared" si="8"/>
        <v>45809</v>
      </c>
      <c r="D46" s="127">
        <f>VLOOKUP(B46,'Q.1 Data'!$B$5:$C$208,2,FALSE)</f>
        <v>190.5</v>
      </c>
      <c r="E46" s="128"/>
    </row>
    <row r="47" spans="2:15" x14ac:dyDescent="0.3">
      <c r="B47" s="126">
        <f>'Q.1 (i)'!B44</f>
        <v>45748</v>
      </c>
      <c r="C47" s="126">
        <f t="shared" si="8"/>
        <v>45839</v>
      </c>
      <c r="D47" s="127">
        <f>VLOOKUP(B47,'Q.1 Data'!$B$5:$C$208,2,FALSE)</f>
        <v>191.6</v>
      </c>
      <c r="E47" s="128"/>
    </row>
    <row r="48" spans="2:15" x14ac:dyDescent="0.3">
      <c r="B48" s="126">
        <f>'Q.1 (i)'!B45</f>
        <v>45778</v>
      </c>
      <c r="C48" s="126">
        <f t="shared" si="8"/>
        <v>45870</v>
      </c>
      <c r="D48" s="127">
        <f>VLOOKUP(B48,'Q.1 Data'!$B$5:$C$208,2,FALSE)</f>
        <v>192</v>
      </c>
      <c r="E48" s="128"/>
    </row>
    <row r="49" spans="2:5" x14ac:dyDescent="0.3">
      <c r="B49" s="126">
        <f>'Q.1 (i)'!B46</f>
        <v>45809</v>
      </c>
      <c r="C49" s="126">
        <f t="shared" si="8"/>
        <v>45901</v>
      </c>
      <c r="D49" s="127">
        <f>VLOOKUP(B49,'Q.1 Data'!$B$5:$C$208,2,FALSE)</f>
        <v>192.2</v>
      </c>
      <c r="E49" s="128"/>
    </row>
    <row r="50" spans="2:5" x14ac:dyDescent="0.3">
      <c r="B50" s="126">
        <f>'Q.1 (i)'!B47</f>
        <v>45839</v>
      </c>
      <c r="C50" s="126">
        <f t="shared" si="8"/>
        <v>45931</v>
      </c>
      <c r="D50" s="127">
        <f>VLOOKUP(B50,'Q.1 Data'!$B$5:$C$208,2,FALSE)</f>
        <v>192.2</v>
      </c>
      <c r="E50" s="128"/>
    </row>
    <row r="51" spans="2:5" x14ac:dyDescent="0.3">
      <c r="B51" s="126">
        <f>'Q.1 (i)'!B48</f>
        <v>45870</v>
      </c>
      <c r="C51" s="126">
        <f t="shared" si="8"/>
        <v>45962</v>
      </c>
      <c r="D51" s="127">
        <f>VLOOKUP(B51,'Q.1 Data'!$B$5:$C$208,2,FALSE)</f>
        <v>192.6</v>
      </c>
      <c r="E51" s="128"/>
    </row>
    <row r="52" spans="2:5" x14ac:dyDescent="0.3">
      <c r="B52" s="126">
        <f>'Q.1 (i)'!B49</f>
        <v>45901</v>
      </c>
      <c r="C52" s="126">
        <f t="shared" si="8"/>
        <v>45992</v>
      </c>
      <c r="D52" s="127">
        <f>VLOOKUP(B52,'Q.1 Data'!$B$5:$C$208,2,FALSE)</f>
        <v>193.1</v>
      </c>
      <c r="E52" s="128"/>
    </row>
    <row r="53" spans="2:5" x14ac:dyDescent="0.3">
      <c r="B53" s="126">
        <f>'Q.1 (i)'!B50</f>
        <v>45931</v>
      </c>
      <c r="C53" s="126">
        <f t="shared" si="8"/>
        <v>46023</v>
      </c>
      <c r="D53" s="127">
        <f>VLOOKUP(B53,'Q.1 Data'!$B$5:$C$208,2,FALSE)</f>
        <v>193.3</v>
      </c>
      <c r="E53" s="128"/>
    </row>
    <row r="54" spans="2:5" x14ac:dyDescent="0.3">
      <c r="B54" s="126">
        <f>'Q.1 (i)'!B51</f>
        <v>45962</v>
      </c>
      <c r="C54" s="126">
        <f t="shared" si="8"/>
        <v>46054</v>
      </c>
      <c r="D54" s="127">
        <f>VLOOKUP(B54,'Q.1 Data'!$B$5:$C$208,2,FALSE)</f>
        <v>193.6</v>
      </c>
      <c r="E54" s="128"/>
    </row>
    <row r="55" spans="2:5" x14ac:dyDescent="0.3">
      <c r="B55" s="126">
        <f>'Q.1 (i)'!B52</f>
        <v>45992</v>
      </c>
      <c r="C55" s="126">
        <f t="shared" si="8"/>
        <v>46082</v>
      </c>
      <c r="D55" s="127">
        <f>VLOOKUP(B55,'Q.1 Data'!$B$5:$C$208,2,FALSE)</f>
        <v>194.1</v>
      </c>
      <c r="E55" s="128"/>
    </row>
    <row r="56" spans="2:5" x14ac:dyDescent="0.3">
      <c r="B56" s="126">
        <f>'Q.1 (i)'!B53</f>
        <v>46023</v>
      </c>
      <c r="C56" s="126">
        <f t="shared" si="8"/>
        <v>46113</v>
      </c>
      <c r="D56" s="127">
        <f>VLOOKUP(B56,'Q.1 Data'!$B$5:$C$208,2,FALSE)</f>
        <v>193.4</v>
      </c>
      <c r="E56" s="128"/>
    </row>
    <row r="57" spans="2:5" x14ac:dyDescent="0.3">
      <c r="B57" s="126">
        <f>'Q.1 (i)'!B54</f>
        <v>46054</v>
      </c>
      <c r="C57" s="126">
        <f t="shared" si="8"/>
        <v>46143</v>
      </c>
      <c r="D57" s="127">
        <f>VLOOKUP(B57,'Q.1 Data'!$B$5:$C$208,2,FALSE)</f>
        <v>194.2</v>
      </c>
      <c r="E57" s="128"/>
    </row>
    <row r="58" spans="2:5" x14ac:dyDescent="0.3">
      <c r="B58" s="126">
        <f>'Q.1 (i)'!B55</f>
        <v>46082</v>
      </c>
      <c r="C58" s="126">
        <f t="shared" si="8"/>
        <v>46174</v>
      </c>
      <c r="D58" s="127">
        <f>VLOOKUP(B58,'Q.1 Data'!$B$5:$C$208,2,FALSE)</f>
        <v>195</v>
      </c>
      <c r="E58" s="128"/>
    </row>
    <row r="59" spans="2:5" x14ac:dyDescent="0.3">
      <c r="B59" s="126">
        <f>'Q.1 (i)'!B56</f>
        <v>46113</v>
      </c>
      <c r="C59" s="126">
        <f t="shared" si="8"/>
        <v>46204</v>
      </c>
      <c r="D59" s="127">
        <f>VLOOKUP(B59,'Q.1 Data'!$B$5:$C$208,2,FALSE)</f>
        <v>196.5</v>
      </c>
      <c r="E59" s="128"/>
    </row>
    <row r="60" spans="2:5" x14ac:dyDescent="0.3">
      <c r="B60" s="126">
        <f>'Q.1 (i)'!B57</f>
        <v>46143</v>
      </c>
      <c r="C60" s="126">
        <f t="shared" si="8"/>
        <v>46235</v>
      </c>
      <c r="D60" s="127">
        <f>VLOOKUP(B60,'Q.1 Data'!$B$5:$C$208,2,FALSE)</f>
        <v>197.7</v>
      </c>
      <c r="E60" s="128"/>
    </row>
    <row r="61" spans="2:5" x14ac:dyDescent="0.3">
      <c r="B61" s="126">
        <f>'Q.1 (i)'!B58</f>
        <v>46174</v>
      </c>
      <c r="C61" s="126">
        <f t="shared" si="8"/>
        <v>46266</v>
      </c>
      <c r="D61" s="127">
        <f>VLOOKUP(B61,'Q.1 Data'!$B$5:$C$208,2,FALSE)</f>
        <v>198.5</v>
      </c>
      <c r="E61" s="128"/>
    </row>
    <row r="62" spans="2:5" x14ac:dyDescent="0.3">
      <c r="B62" s="126">
        <f>'Q.1 (i)'!B59</f>
        <v>46204</v>
      </c>
      <c r="C62" s="126">
        <f t="shared" si="8"/>
        <v>46296</v>
      </c>
      <c r="D62" s="127">
        <f>VLOOKUP(B62,'Q.1 Data'!$B$5:$C$208,2,FALSE)</f>
        <v>198.5</v>
      </c>
      <c r="E62" s="128"/>
    </row>
    <row r="63" spans="2:5" x14ac:dyDescent="0.3">
      <c r="B63" s="126">
        <f>'Q.1 (i)'!B60</f>
        <v>46235</v>
      </c>
      <c r="C63" s="126">
        <f t="shared" si="8"/>
        <v>46327</v>
      </c>
      <c r="D63" s="127">
        <f>VLOOKUP(B63,'Q.1 Data'!$B$5:$C$208,2,FALSE)</f>
        <v>199.2</v>
      </c>
      <c r="E63" s="128"/>
    </row>
    <row r="64" spans="2:5" x14ac:dyDescent="0.3">
      <c r="B64" s="126">
        <f>'Q.1 (i)'!B61</f>
        <v>46266</v>
      </c>
      <c r="C64" s="126">
        <f t="shared" si="8"/>
        <v>46357</v>
      </c>
      <c r="D64" s="127">
        <f>VLOOKUP(B64,'Q.1 Data'!$B$5:$C$208,2,FALSE)</f>
        <v>200.1</v>
      </c>
      <c r="E64" s="128"/>
    </row>
    <row r="65" spans="2:5" x14ac:dyDescent="0.3">
      <c r="B65" s="126">
        <f>'Q.1 (i)'!B62</f>
        <v>46296</v>
      </c>
      <c r="C65" s="126">
        <f t="shared" si="8"/>
        <v>46388</v>
      </c>
      <c r="D65" s="127">
        <f>VLOOKUP(B65,'Q.1 Data'!$B$5:$C$208,2,FALSE)</f>
        <v>200.4</v>
      </c>
      <c r="E65" s="128"/>
    </row>
    <row r="66" spans="2:5" x14ac:dyDescent="0.3">
      <c r="B66" s="126">
        <f>'Q.1 (i)'!B63</f>
        <v>46327</v>
      </c>
      <c r="C66" s="126">
        <f t="shared" si="8"/>
        <v>46419</v>
      </c>
      <c r="D66" s="127">
        <f>VLOOKUP(B66,'Q.1 Data'!$B$5:$C$208,2,FALSE)</f>
        <v>201.1</v>
      </c>
      <c r="E66" s="128"/>
    </row>
    <row r="67" spans="2:5" x14ac:dyDescent="0.3">
      <c r="B67" s="126">
        <f>'Q.1 (i)'!B64</f>
        <v>46357</v>
      </c>
      <c r="C67" s="126">
        <f t="shared" si="8"/>
        <v>46447</v>
      </c>
      <c r="D67" s="127">
        <f>VLOOKUP(B67,'Q.1 Data'!$B$5:$C$208,2,FALSE)</f>
        <v>202.7</v>
      </c>
      <c r="E67" s="128"/>
    </row>
    <row r="68" spans="2:5" x14ac:dyDescent="0.3">
      <c r="B68" s="126">
        <f>'Q.1 (i)'!B65</f>
        <v>46388</v>
      </c>
      <c r="C68" s="126">
        <f t="shared" si="8"/>
        <v>46478</v>
      </c>
      <c r="D68" s="127">
        <f>VLOOKUP(B68,'Q.1 Data'!$B$5:$C$208,2,FALSE)</f>
        <v>201.6</v>
      </c>
      <c r="E68" s="128"/>
    </row>
    <row r="69" spans="2:5" x14ac:dyDescent="0.3">
      <c r="B69" s="126">
        <f>'Q.1 (i)'!B66</f>
        <v>46419</v>
      </c>
      <c r="C69" s="126">
        <f t="shared" si="8"/>
        <v>46508</v>
      </c>
      <c r="D69" s="127">
        <f>VLOOKUP(B69,'Q.1 Data'!$B$5:$C$208,2,FALSE)</f>
        <v>203.1</v>
      </c>
      <c r="E69" s="128"/>
    </row>
    <row r="70" spans="2:5" x14ac:dyDescent="0.3">
      <c r="B70" s="126">
        <f>'Q.1 (i)'!B67</f>
        <v>46447</v>
      </c>
      <c r="C70" s="126">
        <f t="shared" si="8"/>
        <v>46539</v>
      </c>
      <c r="D70" s="127">
        <f>VLOOKUP(B70,'Q.1 Data'!$B$5:$C$208,2,FALSE)</f>
        <v>204.4</v>
      </c>
      <c r="E70" s="128"/>
    </row>
    <row r="71" spans="2:5" x14ac:dyDescent="0.3">
      <c r="B71" s="126">
        <f>'Q.1 (i)'!B68</f>
        <v>46478</v>
      </c>
      <c r="C71" s="126">
        <f t="shared" si="8"/>
        <v>46569</v>
      </c>
      <c r="D71" s="127">
        <f>VLOOKUP(B71,'Q.1 Data'!$B$5:$C$208,2,FALSE)</f>
        <v>205.4</v>
      </c>
      <c r="E71" s="128"/>
    </row>
    <row r="72" spans="2:5" x14ac:dyDescent="0.3">
      <c r="B72" s="126">
        <f>'Q.1 (i)'!B69</f>
        <v>46508</v>
      </c>
      <c r="C72" s="126">
        <f t="shared" si="8"/>
        <v>46600</v>
      </c>
      <c r="D72" s="127">
        <f>VLOOKUP(B72,'Q.1 Data'!$B$5:$C$208,2,FALSE)</f>
        <v>206.2</v>
      </c>
      <c r="E72" s="128"/>
    </row>
    <row r="73" spans="2:5" x14ac:dyDescent="0.3">
      <c r="B73" s="126">
        <f>'Q.1 (i)'!B70</f>
        <v>46539</v>
      </c>
      <c r="C73" s="126">
        <f t="shared" ref="C73:C136" si="9">B76</f>
        <v>46631</v>
      </c>
      <c r="D73" s="127">
        <f>VLOOKUP(B73,'Q.1 Data'!$B$5:$C$208,2,FALSE)</f>
        <v>207.3</v>
      </c>
      <c r="E73" s="128"/>
    </row>
    <row r="74" spans="2:5" x14ac:dyDescent="0.3">
      <c r="B74" s="126">
        <f>'Q.1 (i)'!B71</f>
        <v>46569</v>
      </c>
      <c r="C74" s="126">
        <f t="shared" si="9"/>
        <v>46661</v>
      </c>
      <c r="D74" s="127">
        <f>VLOOKUP(B74,'Q.1 Data'!$B$5:$C$208,2,FALSE)</f>
        <v>206.1</v>
      </c>
      <c r="E74" s="128"/>
    </row>
    <row r="75" spans="2:5" x14ac:dyDescent="0.3">
      <c r="B75" s="126">
        <f>'Q.1 (i)'!B72</f>
        <v>46600</v>
      </c>
      <c r="C75" s="126">
        <f t="shared" si="9"/>
        <v>46692</v>
      </c>
      <c r="D75" s="127">
        <f>VLOOKUP(B75,'Q.1 Data'!$B$5:$C$208,2,FALSE)</f>
        <v>207.3</v>
      </c>
      <c r="E75" s="128"/>
    </row>
    <row r="76" spans="2:5" x14ac:dyDescent="0.3">
      <c r="B76" s="126">
        <f>'Q.1 (i)'!B73</f>
        <v>46631</v>
      </c>
      <c r="C76" s="126">
        <f t="shared" si="9"/>
        <v>46722</v>
      </c>
      <c r="D76" s="127">
        <f>VLOOKUP(B76,'Q.1 Data'!$B$5:$C$208,2,FALSE)</f>
        <v>208</v>
      </c>
      <c r="E76" s="128"/>
    </row>
    <row r="77" spans="2:5" x14ac:dyDescent="0.3">
      <c r="B77" s="126">
        <f>'Q.1 (i)'!B74</f>
        <v>46661</v>
      </c>
      <c r="C77" s="126">
        <f t="shared" si="9"/>
        <v>46753</v>
      </c>
      <c r="D77" s="127">
        <f>VLOOKUP(B77,'Q.1 Data'!$B$5:$C$208,2,FALSE)</f>
        <v>208.9</v>
      </c>
      <c r="E77" s="128"/>
    </row>
    <row r="78" spans="2:5" x14ac:dyDescent="0.3">
      <c r="B78" s="126">
        <f>'Q.1 (i)'!B75</f>
        <v>46692</v>
      </c>
      <c r="C78" s="126">
        <f t="shared" si="9"/>
        <v>46784</v>
      </c>
      <c r="D78" s="127">
        <f>VLOOKUP(B78,'Q.1 Data'!$B$5:$C$208,2,FALSE)</f>
        <v>209.7</v>
      </c>
      <c r="E78" s="128"/>
    </row>
    <row r="79" spans="2:5" x14ac:dyDescent="0.3">
      <c r="B79" s="126">
        <f>'Q.1 (i)'!B76</f>
        <v>46722</v>
      </c>
      <c r="C79" s="126">
        <f t="shared" si="9"/>
        <v>46813</v>
      </c>
      <c r="D79" s="127">
        <f>VLOOKUP(B79,'Q.1 Data'!$B$5:$C$208,2,FALSE)</f>
        <v>210.9</v>
      </c>
      <c r="E79" s="128"/>
    </row>
    <row r="80" spans="2:5" x14ac:dyDescent="0.3">
      <c r="B80" s="126">
        <f>'Q.1 (i)'!B77</f>
        <v>46753</v>
      </c>
      <c r="C80" s="126">
        <f t="shared" si="9"/>
        <v>46844</v>
      </c>
      <c r="D80" s="127">
        <f>VLOOKUP(B80,'Q.1 Data'!$B$5:$C$208,2,FALSE)</f>
        <v>209.8</v>
      </c>
      <c r="E80" s="128"/>
    </row>
    <row r="81" spans="2:5" x14ac:dyDescent="0.3">
      <c r="B81" s="126">
        <f>'Q.1 (i)'!B78</f>
        <v>46784</v>
      </c>
      <c r="C81" s="126">
        <f t="shared" si="9"/>
        <v>46874</v>
      </c>
      <c r="D81" s="127">
        <f>VLOOKUP(B81,'Q.1 Data'!$B$5:$C$208,2,FALSE)</f>
        <v>211.4</v>
      </c>
      <c r="E81" s="128"/>
    </row>
    <row r="82" spans="2:5" x14ac:dyDescent="0.3">
      <c r="B82" s="126">
        <f>'Q.1 (i)'!B79</f>
        <v>46813</v>
      </c>
      <c r="C82" s="126">
        <f t="shared" si="9"/>
        <v>46905</v>
      </c>
      <c r="D82" s="127">
        <f>VLOOKUP(B82,'Q.1 Data'!$B$5:$C$208,2,FALSE)</f>
        <v>212.1</v>
      </c>
      <c r="E82" s="128"/>
    </row>
    <row r="83" spans="2:5" x14ac:dyDescent="0.3">
      <c r="B83" s="126">
        <f>'Q.1 (i)'!B80</f>
        <v>46844</v>
      </c>
      <c r="C83" s="126">
        <f t="shared" si="9"/>
        <v>46935</v>
      </c>
      <c r="D83" s="127">
        <f>VLOOKUP(B83,'Q.1 Data'!$B$5:$C$208,2,FALSE)</f>
        <v>214</v>
      </c>
      <c r="E83" s="128"/>
    </row>
    <row r="84" spans="2:5" x14ac:dyDescent="0.3">
      <c r="B84" s="126">
        <f>'Q.1 (i)'!B81</f>
        <v>46874</v>
      </c>
      <c r="C84" s="126">
        <f t="shared" si="9"/>
        <v>46966</v>
      </c>
      <c r="D84" s="127">
        <f>VLOOKUP(B84,'Q.1 Data'!$B$5:$C$208,2,FALSE)</f>
        <v>215.1</v>
      </c>
      <c r="E84" s="128"/>
    </row>
    <row r="85" spans="2:5" x14ac:dyDescent="0.3">
      <c r="B85" s="126">
        <f>'Q.1 (i)'!B82</f>
        <v>46905</v>
      </c>
      <c r="C85" s="126">
        <f t="shared" si="9"/>
        <v>46997</v>
      </c>
      <c r="D85" s="127">
        <f>VLOOKUP(B85,'Q.1 Data'!$B$5:$C$208,2,FALSE)</f>
        <v>216.8</v>
      </c>
      <c r="E85" s="128"/>
    </row>
    <row r="86" spans="2:5" x14ac:dyDescent="0.3">
      <c r="B86" s="126">
        <f>'Q.1 (i)'!B83</f>
        <v>46935</v>
      </c>
      <c r="C86" s="126">
        <f t="shared" si="9"/>
        <v>47027</v>
      </c>
      <c r="D86" s="127">
        <f>VLOOKUP(B86,'Q.1 Data'!$B$5:$C$208,2,FALSE)</f>
        <v>216.5</v>
      </c>
      <c r="E86" s="128"/>
    </row>
    <row r="87" spans="2:5" x14ac:dyDescent="0.3">
      <c r="B87" s="126">
        <f>'Q.1 (i)'!B84</f>
        <v>46966</v>
      </c>
      <c r="C87" s="126">
        <f t="shared" si="9"/>
        <v>47058</v>
      </c>
      <c r="D87" s="127">
        <f>VLOOKUP(B87,'Q.1 Data'!$B$5:$C$208,2,FALSE)</f>
        <v>217.2</v>
      </c>
      <c r="E87" s="128"/>
    </row>
    <row r="88" spans="2:5" x14ac:dyDescent="0.3">
      <c r="B88" s="126">
        <f>'Q.1 (i)'!B85</f>
        <v>46997</v>
      </c>
      <c r="C88" s="126">
        <f t="shared" si="9"/>
        <v>47088</v>
      </c>
      <c r="D88" s="127">
        <f>VLOOKUP(B88,'Q.1 Data'!$B$5:$C$208,2,FALSE)</f>
        <v>218.4</v>
      </c>
      <c r="E88" s="128"/>
    </row>
    <row r="89" spans="2:5" x14ac:dyDescent="0.3">
      <c r="B89" s="126">
        <f>'Q.1 (i)'!B86</f>
        <v>47027</v>
      </c>
      <c r="C89" s="126">
        <f t="shared" si="9"/>
        <v>47119</v>
      </c>
      <c r="D89" s="127">
        <f>VLOOKUP(B89,'Q.1 Data'!$B$5:$C$208,2,FALSE)</f>
        <v>217.7</v>
      </c>
      <c r="E89" s="128"/>
    </row>
    <row r="90" spans="2:5" x14ac:dyDescent="0.3">
      <c r="B90" s="126">
        <f>'Q.1 (i)'!B87</f>
        <v>47058</v>
      </c>
      <c r="C90" s="126">
        <f t="shared" si="9"/>
        <v>47150</v>
      </c>
      <c r="D90" s="127">
        <f>VLOOKUP(B90,'Q.1 Data'!$B$5:$C$208,2,FALSE)</f>
        <v>216</v>
      </c>
      <c r="E90" s="128"/>
    </row>
    <row r="91" spans="2:5" x14ac:dyDescent="0.3">
      <c r="B91" s="126">
        <f>'Q.1 (i)'!B88</f>
        <v>47088</v>
      </c>
      <c r="C91" s="126">
        <f t="shared" si="9"/>
        <v>47178</v>
      </c>
      <c r="D91" s="127">
        <f>VLOOKUP(B91,'Q.1 Data'!$B$5:$C$208,2,FALSE)</f>
        <v>212.9</v>
      </c>
      <c r="E91" s="128"/>
    </row>
    <row r="92" spans="2:5" x14ac:dyDescent="0.3">
      <c r="B92" s="126">
        <f>'Q.1 (i)'!B89</f>
        <v>47119</v>
      </c>
      <c r="C92" s="126">
        <f t="shared" si="9"/>
        <v>47209</v>
      </c>
      <c r="D92" s="127">
        <f>VLOOKUP(B92,'Q.1 Data'!$B$5:$C$208,2,FALSE)</f>
        <v>210.1</v>
      </c>
      <c r="E92" s="128"/>
    </row>
    <row r="93" spans="2:5" x14ac:dyDescent="0.3">
      <c r="B93" s="126">
        <f>'Q.1 (i)'!B90</f>
        <v>47150</v>
      </c>
      <c r="C93" s="126">
        <f t="shared" si="9"/>
        <v>47239</v>
      </c>
      <c r="D93" s="127">
        <f>VLOOKUP(B93,'Q.1 Data'!$B$5:$C$208,2,FALSE)</f>
        <v>211.4</v>
      </c>
      <c r="E93" s="128"/>
    </row>
    <row r="94" spans="2:5" x14ac:dyDescent="0.3">
      <c r="B94" s="126">
        <f>'Q.1 (i)'!B91</f>
        <v>47178</v>
      </c>
      <c r="C94" s="126">
        <f t="shared" si="9"/>
        <v>47270</v>
      </c>
      <c r="D94" s="127">
        <f>VLOOKUP(B94,'Q.1 Data'!$B$5:$C$208,2,FALSE)</f>
        <v>211.3</v>
      </c>
      <c r="E94" s="128"/>
    </row>
    <row r="95" spans="2:5" x14ac:dyDescent="0.3">
      <c r="B95" s="126">
        <f>'Q.1 (i)'!B92</f>
        <v>47209</v>
      </c>
      <c r="C95" s="126">
        <f t="shared" si="9"/>
        <v>47300</v>
      </c>
      <c r="D95" s="127">
        <f>VLOOKUP(B95,'Q.1 Data'!$B$5:$C$208,2,FALSE)</f>
        <v>211.5</v>
      </c>
      <c r="E95" s="128"/>
    </row>
    <row r="96" spans="2:5" x14ac:dyDescent="0.3">
      <c r="B96" s="126">
        <f>'Q.1 (i)'!B93</f>
        <v>47239</v>
      </c>
      <c r="C96" s="126">
        <f t="shared" si="9"/>
        <v>47331</v>
      </c>
      <c r="D96" s="127">
        <f>VLOOKUP(B96,'Q.1 Data'!$B$5:$C$208,2,FALSE)</f>
        <v>212.8</v>
      </c>
      <c r="E96" s="128"/>
    </row>
    <row r="97" spans="2:5" x14ac:dyDescent="0.3">
      <c r="B97" s="126">
        <f>'Q.1 (i)'!B94</f>
        <v>47270</v>
      </c>
      <c r="C97" s="126">
        <f t="shared" si="9"/>
        <v>47362</v>
      </c>
      <c r="D97" s="127">
        <f>VLOOKUP(B97,'Q.1 Data'!$B$5:$C$208,2,FALSE)</f>
        <v>213.4</v>
      </c>
      <c r="E97" s="128"/>
    </row>
    <row r="98" spans="2:5" x14ac:dyDescent="0.3">
      <c r="B98" s="126">
        <f>'Q.1 (i)'!B95</f>
        <v>47300</v>
      </c>
      <c r="C98" s="126">
        <f t="shared" si="9"/>
        <v>47392</v>
      </c>
      <c r="D98" s="127">
        <f>VLOOKUP(B98,'Q.1 Data'!$B$5:$C$208,2,FALSE)</f>
        <v>213.4</v>
      </c>
      <c r="E98" s="128"/>
    </row>
    <row r="99" spans="2:5" x14ac:dyDescent="0.3">
      <c r="B99" s="126">
        <f>'Q.1 (i)'!B96</f>
        <v>47331</v>
      </c>
      <c r="C99" s="126">
        <f t="shared" si="9"/>
        <v>47423</v>
      </c>
      <c r="D99" s="127">
        <f>VLOOKUP(B99,'Q.1 Data'!$B$5:$C$208,2,FALSE)</f>
        <v>214.4</v>
      </c>
      <c r="E99" s="128"/>
    </row>
    <row r="100" spans="2:5" x14ac:dyDescent="0.3">
      <c r="B100" s="126">
        <f>'Q.1 (i)'!B97</f>
        <v>47362</v>
      </c>
      <c r="C100" s="126">
        <f t="shared" si="9"/>
        <v>47453</v>
      </c>
      <c r="D100" s="127">
        <f>VLOOKUP(B100,'Q.1 Data'!$B$5:$C$208,2,FALSE)</f>
        <v>215.3</v>
      </c>
      <c r="E100" s="128"/>
    </row>
    <row r="101" spans="2:5" x14ac:dyDescent="0.3">
      <c r="B101" s="126">
        <f>'Q.1 (i)'!B98</f>
        <v>47392</v>
      </c>
      <c r="C101" s="126">
        <f t="shared" si="9"/>
        <v>47484</v>
      </c>
      <c r="D101" s="127">
        <f>VLOOKUP(B101,'Q.1 Data'!$B$5:$C$208,2,FALSE)</f>
        <v>216</v>
      </c>
      <c r="E101" s="128"/>
    </row>
    <row r="102" spans="2:5" x14ac:dyDescent="0.3">
      <c r="B102" s="126">
        <f>'Q.1 (i)'!B99</f>
        <v>47423</v>
      </c>
      <c r="C102" s="126">
        <f t="shared" si="9"/>
        <v>47515</v>
      </c>
      <c r="D102" s="127">
        <f>VLOOKUP(B102,'Q.1 Data'!$B$5:$C$208,2,FALSE)</f>
        <v>216.6</v>
      </c>
      <c r="E102" s="128"/>
    </row>
    <row r="103" spans="2:5" x14ac:dyDescent="0.3">
      <c r="B103" s="126">
        <f>'Q.1 (i)'!B100</f>
        <v>47453</v>
      </c>
      <c r="C103" s="126">
        <f t="shared" si="9"/>
        <v>47543</v>
      </c>
      <c r="D103" s="127">
        <f>VLOOKUP(B103,'Q.1 Data'!$B$5:$C$208,2,FALSE)</f>
        <v>218</v>
      </c>
      <c r="E103" s="128"/>
    </row>
    <row r="104" spans="2:5" x14ac:dyDescent="0.3">
      <c r="B104" s="126">
        <f>'Q.1 (i)'!B101</f>
        <v>47484</v>
      </c>
      <c r="C104" s="126">
        <f t="shared" si="9"/>
        <v>47574</v>
      </c>
      <c r="D104" s="127">
        <f>VLOOKUP(B104,'Q.1 Data'!$B$5:$C$208,2,FALSE)</f>
        <v>217.9</v>
      </c>
      <c r="E104" s="128"/>
    </row>
    <row r="105" spans="2:5" x14ac:dyDescent="0.3">
      <c r="B105" s="126">
        <f>'Q.1 (i)'!B102</f>
        <v>47515</v>
      </c>
      <c r="C105" s="126">
        <f t="shared" si="9"/>
        <v>47604</v>
      </c>
      <c r="D105" s="127">
        <f>VLOOKUP(B105,'Q.1 Data'!$B$5:$C$208,2,FALSE)</f>
        <v>219.2</v>
      </c>
      <c r="E105" s="128"/>
    </row>
    <row r="106" spans="2:5" x14ac:dyDescent="0.3">
      <c r="B106" s="126">
        <f>'Q.1 (i)'!B103</f>
        <v>47543</v>
      </c>
      <c r="C106" s="126">
        <f t="shared" si="9"/>
        <v>47635</v>
      </c>
      <c r="D106" s="127">
        <f>VLOOKUP(B106,'Q.1 Data'!$B$5:$C$208,2,FALSE)</f>
        <v>220.7</v>
      </c>
      <c r="E106" s="128"/>
    </row>
    <row r="107" spans="2:5" x14ac:dyDescent="0.3">
      <c r="B107" s="126">
        <f>'Q.1 (i)'!B104</f>
        <v>47574</v>
      </c>
      <c r="C107" s="126">
        <f t="shared" si="9"/>
        <v>47665</v>
      </c>
      <c r="D107" s="127">
        <f>VLOOKUP(B107,'Q.1 Data'!$B$5:$C$208,2,FALSE)</f>
        <v>222.8</v>
      </c>
      <c r="E107" s="128"/>
    </row>
    <row r="108" spans="2:5" x14ac:dyDescent="0.3">
      <c r="B108" s="126">
        <f>'Q.1 (i)'!B105</f>
        <v>47604</v>
      </c>
      <c r="C108" s="126">
        <f t="shared" si="9"/>
        <v>47696</v>
      </c>
      <c r="D108" s="127">
        <f>VLOOKUP(B108,'Q.1 Data'!$B$5:$C$208,2,FALSE)</f>
        <v>223.6</v>
      </c>
      <c r="E108" s="128"/>
    </row>
    <row r="109" spans="2:5" x14ac:dyDescent="0.3">
      <c r="B109" s="126">
        <f>'Q.1 (i)'!B106</f>
        <v>47635</v>
      </c>
      <c r="C109" s="126">
        <f t="shared" si="9"/>
        <v>47727</v>
      </c>
      <c r="D109" s="127">
        <f>VLOOKUP(B109,'Q.1 Data'!$B$5:$C$208,2,FALSE)</f>
        <v>224.1</v>
      </c>
      <c r="E109" s="128"/>
    </row>
    <row r="110" spans="2:5" x14ac:dyDescent="0.3">
      <c r="B110" s="126">
        <f>'Q.1 (i)'!B107</f>
        <v>47665</v>
      </c>
      <c r="C110" s="126">
        <f t="shared" si="9"/>
        <v>47757</v>
      </c>
      <c r="D110" s="127">
        <f>VLOOKUP(B110,'Q.1 Data'!$B$5:$C$208,2,FALSE)</f>
        <v>223.6</v>
      </c>
      <c r="E110" s="128"/>
    </row>
    <row r="111" spans="2:5" x14ac:dyDescent="0.3">
      <c r="B111" s="126">
        <f>'Q.1 (i)'!B108</f>
        <v>47696</v>
      </c>
      <c r="C111" s="126">
        <f t="shared" si="9"/>
        <v>47788</v>
      </c>
      <c r="D111" s="127">
        <f>VLOOKUP(B111,'Q.1 Data'!$B$5:$C$208,2,FALSE)</f>
        <v>224.5</v>
      </c>
      <c r="E111" s="128"/>
    </row>
    <row r="112" spans="2:5" x14ac:dyDescent="0.3">
      <c r="B112" s="126">
        <f>'Q.1 (i)'!B109</f>
        <v>47727</v>
      </c>
      <c r="C112" s="126">
        <f t="shared" si="9"/>
        <v>47818</v>
      </c>
      <c r="D112" s="127">
        <f>VLOOKUP(B112,'Q.1 Data'!$B$5:$C$208,2,FALSE)</f>
        <v>225.3</v>
      </c>
      <c r="E112" s="128"/>
    </row>
    <row r="113" spans="2:5" x14ac:dyDescent="0.3">
      <c r="B113" s="126">
        <f>'Q.1 (i)'!B110</f>
        <v>47757</v>
      </c>
      <c r="C113" s="126">
        <f t="shared" si="9"/>
        <v>47849</v>
      </c>
      <c r="D113" s="127">
        <f>VLOOKUP(B113,'Q.1 Data'!$B$5:$C$208,2,FALSE)</f>
        <v>225.8</v>
      </c>
      <c r="E113" s="128"/>
    </row>
    <row r="114" spans="2:5" x14ac:dyDescent="0.3">
      <c r="B114" s="126">
        <f>'Q.1 (i)'!B111</f>
        <v>47788</v>
      </c>
      <c r="C114" s="126">
        <f t="shared" si="9"/>
        <v>47880</v>
      </c>
      <c r="D114" s="127">
        <f>VLOOKUP(B114,'Q.1 Data'!$B$5:$C$208,2,FALSE)</f>
        <v>226.8</v>
      </c>
      <c r="E114" s="128"/>
    </row>
    <row r="115" spans="2:5" x14ac:dyDescent="0.3">
      <c r="B115" s="126">
        <f>'Q.1 (i)'!B112</f>
        <v>47818</v>
      </c>
      <c r="C115" s="126">
        <f t="shared" si="9"/>
        <v>47908</v>
      </c>
      <c r="D115" s="127">
        <f>VLOOKUP(B115,'Q.1 Data'!$B$5:$C$208,2,FALSE)</f>
        <v>228.4</v>
      </c>
      <c r="E115" s="128"/>
    </row>
    <row r="116" spans="2:5" x14ac:dyDescent="0.3">
      <c r="B116" s="126">
        <f>'Q.1 (i)'!B113</f>
        <v>47849</v>
      </c>
      <c r="C116" s="126">
        <f t="shared" si="9"/>
        <v>47939</v>
      </c>
      <c r="D116" s="127">
        <f>VLOOKUP(B116,'Q.1 Data'!$B$5:$C$208,2,FALSE)</f>
        <v>229</v>
      </c>
      <c r="E116" s="128"/>
    </row>
    <row r="117" spans="2:5" x14ac:dyDescent="0.3">
      <c r="B117" s="126">
        <f>'Q.1 (i)'!B114</f>
        <v>47880</v>
      </c>
      <c r="C117" s="126">
        <f t="shared" si="9"/>
        <v>47969</v>
      </c>
      <c r="D117" s="127">
        <f>VLOOKUP(B117,'Q.1 Data'!$B$5:$C$208,2,FALSE)</f>
        <v>231.3</v>
      </c>
      <c r="E117" s="128"/>
    </row>
    <row r="118" spans="2:5" x14ac:dyDescent="0.3">
      <c r="B118" s="126">
        <f>'Q.1 (i)'!B115</f>
        <v>47908</v>
      </c>
      <c r="C118" s="126">
        <f t="shared" si="9"/>
        <v>48000</v>
      </c>
      <c r="D118" s="127">
        <f>VLOOKUP(B118,'Q.1 Data'!$B$5:$C$208,2,FALSE)</f>
        <v>232.5</v>
      </c>
      <c r="E118" s="128"/>
    </row>
    <row r="119" spans="2:5" x14ac:dyDescent="0.3">
      <c r="B119" s="126">
        <f>'Q.1 (i)'!B116</f>
        <v>47939</v>
      </c>
      <c r="C119" s="126">
        <f t="shared" si="9"/>
        <v>48030</v>
      </c>
      <c r="D119" s="127">
        <f>VLOOKUP(B119,'Q.1 Data'!$B$5:$C$208,2,FALSE)</f>
        <v>234.4</v>
      </c>
      <c r="E119" s="128"/>
    </row>
    <row r="120" spans="2:5" x14ac:dyDescent="0.3">
      <c r="B120" s="126">
        <f>'Q.1 (i)'!B117</f>
        <v>47969</v>
      </c>
      <c r="C120" s="126">
        <f t="shared" si="9"/>
        <v>48061</v>
      </c>
      <c r="D120" s="127">
        <f>VLOOKUP(B120,'Q.1 Data'!$B$5:$C$208,2,FALSE)</f>
        <v>235.2</v>
      </c>
      <c r="E120" s="128"/>
    </row>
    <row r="121" spans="2:5" x14ac:dyDescent="0.3">
      <c r="B121" s="126">
        <f>'Q.1 (i)'!B118</f>
        <v>48000</v>
      </c>
      <c r="C121" s="126">
        <f t="shared" si="9"/>
        <v>48092</v>
      </c>
      <c r="D121" s="127">
        <f>VLOOKUP(B121,'Q.1 Data'!$B$5:$C$208,2,FALSE)</f>
        <v>235.2</v>
      </c>
      <c r="E121" s="128"/>
    </row>
    <row r="122" spans="2:5" x14ac:dyDescent="0.3">
      <c r="B122" s="126">
        <f>'Q.1 (i)'!B119</f>
        <v>48030</v>
      </c>
      <c r="C122" s="126">
        <f t="shared" si="9"/>
        <v>48122</v>
      </c>
      <c r="D122" s="127">
        <f>VLOOKUP(B122,'Q.1 Data'!$B$5:$C$208,2,FALSE)</f>
        <v>234.7</v>
      </c>
      <c r="E122" s="128"/>
    </row>
    <row r="123" spans="2:5" x14ac:dyDescent="0.3">
      <c r="B123" s="126">
        <f>'Q.1 (i)'!B120</f>
        <v>48061</v>
      </c>
      <c r="C123" s="126">
        <f t="shared" si="9"/>
        <v>48153</v>
      </c>
      <c r="D123" s="127">
        <f>VLOOKUP(B123,'Q.1 Data'!$B$5:$C$208,2,FALSE)</f>
        <v>236.1</v>
      </c>
      <c r="E123" s="128"/>
    </row>
    <row r="124" spans="2:5" x14ac:dyDescent="0.3">
      <c r="B124" s="126">
        <f>'Q.1 (i)'!B121</f>
        <v>48092</v>
      </c>
      <c r="C124" s="126">
        <f t="shared" si="9"/>
        <v>48183</v>
      </c>
      <c r="D124" s="127">
        <f>VLOOKUP(B124,'Q.1 Data'!$B$5:$C$208,2,FALSE)</f>
        <v>237.9</v>
      </c>
      <c r="E124" s="128"/>
    </row>
    <row r="125" spans="2:5" x14ac:dyDescent="0.3">
      <c r="B125" s="126">
        <f>'Q.1 (i)'!B122</f>
        <v>48122</v>
      </c>
      <c r="C125" s="126">
        <f t="shared" si="9"/>
        <v>48214</v>
      </c>
      <c r="D125" s="127">
        <f>VLOOKUP(B125,'Q.1 Data'!$B$5:$C$208,2,FALSE)</f>
        <v>238</v>
      </c>
      <c r="E125" s="128"/>
    </row>
    <row r="126" spans="2:5" x14ac:dyDescent="0.3">
      <c r="B126" s="126">
        <f>'Q.1 (i)'!B123</f>
        <v>48153</v>
      </c>
      <c r="C126" s="126">
        <f t="shared" si="9"/>
        <v>48245</v>
      </c>
      <c r="D126" s="127">
        <f>VLOOKUP(B126,'Q.1 Data'!$B$5:$C$208,2,FALSE)</f>
        <v>238.5</v>
      </c>
      <c r="E126" s="128"/>
    </row>
    <row r="127" spans="2:5" x14ac:dyDescent="0.3">
      <c r="B127" s="126">
        <f>'Q.1 (i)'!B124</f>
        <v>48183</v>
      </c>
      <c r="C127" s="126">
        <f t="shared" si="9"/>
        <v>48274</v>
      </c>
      <c r="D127" s="127">
        <f>VLOOKUP(B127,'Q.1 Data'!$B$5:$C$208,2,FALSE)</f>
        <v>239.4</v>
      </c>
      <c r="E127" s="128"/>
    </row>
    <row r="128" spans="2:5" x14ac:dyDescent="0.3">
      <c r="B128" s="126">
        <f>'Q.1 (i)'!B125</f>
        <v>48214</v>
      </c>
      <c r="C128" s="126">
        <f t="shared" si="9"/>
        <v>48305</v>
      </c>
      <c r="D128" s="127">
        <f>VLOOKUP(B128,'Q.1 Data'!$B$5:$C$208,2,FALSE)</f>
        <v>238</v>
      </c>
      <c r="E128" s="128"/>
    </row>
    <row r="129" spans="2:5" x14ac:dyDescent="0.3">
      <c r="B129" s="126">
        <f>'Q.1 (i)'!B126</f>
        <v>48245</v>
      </c>
      <c r="C129" s="126">
        <f t="shared" si="9"/>
        <v>48335</v>
      </c>
      <c r="D129" s="127">
        <f>VLOOKUP(B129,'Q.1 Data'!$B$5:$C$208,2,FALSE)</f>
        <v>239.9</v>
      </c>
      <c r="E129" s="128"/>
    </row>
    <row r="130" spans="2:5" x14ac:dyDescent="0.3">
      <c r="B130" s="126">
        <f>'Q.1 (i)'!B127</f>
        <v>48274</v>
      </c>
      <c r="C130" s="126">
        <f t="shared" si="9"/>
        <v>48366</v>
      </c>
      <c r="D130" s="127">
        <f>VLOOKUP(B130,'Q.1 Data'!$B$5:$C$208,2,FALSE)</f>
        <v>240.8</v>
      </c>
      <c r="E130" s="128"/>
    </row>
    <row r="131" spans="2:5" x14ac:dyDescent="0.3">
      <c r="B131" s="126">
        <f>'Q.1 (i)'!B128</f>
        <v>48305</v>
      </c>
      <c r="C131" s="126">
        <f t="shared" si="9"/>
        <v>48396</v>
      </c>
      <c r="D131" s="127">
        <f>VLOOKUP(B131,'Q.1 Data'!$B$5:$C$208,2,FALSE)</f>
        <v>242.5</v>
      </c>
      <c r="E131" s="128"/>
    </row>
    <row r="132" spans="2:5" x14ac:dyDescent="0.3">
      <c r="B132" s="126">
        <f>'Q.1 (i)'!B129</f>
        <v>48335</v>
      </c>
      <c r="C132" s="126">
        <f t="shared" si="9"/>
        <v>48427</v>
      </c>
      <c r="D132" s="127">
        <f>VLOOKUP(B132,'Q.1 Data'!$B$5:$C$208,2,FALSE)</f>
        <v>242.4</v>
      </c>
      <c r="E132" s="128"/>
    </row>
    <row r="133" spans="2:5" x14ac:dyDescent="0.3">
      <c r="B133" s="126">
        <f>'Q.1 (i)'!B130</f>
        <v>48366</v>
      </c>
      <c r="C133" s="126">
        <f t="shared" si="9"/>
        <v>48458</v>
      </c>
      <c r="D133" s="127">
        <f>VLOOKUP(B133,'Q.1 Data'!$B$5:$C$208,2,FALSE)</f>
        <v>241.8</v>
      </c>
      <c r="E133" s="128"/>
    </row>
    <row r="134" spans="2:5" x14ac:dyDescent="0.3">
      <c r="B134" s="126">
        <f>'Q.1 (i)'!B131</f>
        <v>48396</v>
      </c>
      <c r="C134" s="126">
        <f t="shared" si="9"/>
        <v>48488</v>
      </c>
      <c r="D134" s="127">
        <f>VLOOKUP(B134,'Q.1 Data'!$B$5:$C$208,2,FALSE)</f>
        <v>242.1</v>
      </c>
      <c r="E134" s="128"/>
    </row>
    <row r="135" spans="2:5" x14ac:dyDescent="0.3">
      <c r="B135" s="126">
        <f>'Q.1 (i)'!B132</f>
        <v>48427</v>
      </c>
      <c r="C135" s="126">
        <f t="shared" si="9"/>
        <v>48519</v>
      </c>
      <c r="D135" s="127">
        <f>VLOOKUP(B135,'Q.1 Data'!$B$5:$C$208,2,FALSE)</f>
        <v>243</v>
      </c>
      <c r="E135" s="128"/>
    </row>
    <row r="136" spans="2:5" x14ac:dyDescent="0.3">
      <c r="B136" s="126">
        <f>'Q.1 (i)'!B133</f>
        <v>48458</v>
      </c>
      <c r="C136" s="126">
        <f t="shared" si="9"/>
        <v>48549</v>
      </c>
      <c r="D136" s="127">
        <f>VLOOKUP(B136,'Q.1 Data'!$B$5:$C$208,2,FALSE)</f>
        <v>244.2</v>
      </c>
      <c r="E136" s="128"/>
    </row>
    <row r="137" spans="2:5" x14ac:dyDescent="0.3">
      <c r="B137" s="126">
        <f>'Q.1 (i)'!B134</f>
        <v>48488</v>
      </c>
      <c r="C137" s="126">
        <f t="shared" ref="C137:C200" si="10">B140</f>
        <v>48580</v>
      </c>
      <c r="D137" s="127">
        <f>VLOOKUP(B137,'Q.1 Data'!$B$5:$C$208,2,FALSE)</f>
        <v>245.6</v>
      </c>
      <c r="E137" s="128"/>
    </row>
    <row r="138" spans="2:5" x14ac:dyDescent="0.3">
      <c r="B138" s="126">
        <f>'Q.1 (i)'!B135</f>
        <v>48519</v>
      </c>
      <c r="C138" s="126">
        <f t="shared" si="10"/>
        <v>48611</v>
      </c>
      <c r="D138" s="127">
        <f>VLOOKUP(B138,'Q.1 Data'!$B$5:$C$208,2,FALSE)</f>
        <v>245.6</v>
      </c>
      <c r="E138" s="128"/>
    </row>
    <row r="139" spans="2:5" x14ac:dyDescent="0.3">
      <c r="B139" s="126">
        <f>'Q.1 (i)'!B136</f>
        <v>48549</v>
      </c>
      <c r="C139" s="126">
        <f t="shared" si="10"/>
        <v>48639</v>
      </c>
      <c r="D139" s="127">
        <f>VLOOKUP(B139,'Q.1 Data'!$B$5:$C$208,2,FALSE)</f>
        <v>246.8</v>
      </c>
      <c r="E139" s="128"/>
    </row>
    <row r="140" spans="2:5" x14ac:dyDescent="0.3">
      <c r="B140" s="126">
        <f>'Q.1 (i)'!B137</f>
        <v>48580</v>
      </c>
      <c r="C140" s="126">
        <f t="shared" si="10"/>
        <v>48670</v>
      </c>
      <c r="D140" s="127">
        <f>VLOOKUP(B140,'Q.1 Data'!$B$5:$C$208,2,FALSE)</f>
        <v>245.8</v>
      </c>
      <c r="E140" s="128"/>
    </row>
    <row r="141" spans="2:5" x14ac:dyDescent="0.3">
      <c r="B141" s="126">
        <f>'Q.1 (i)'!B138</f>
        <v>48611</v>
      </c>
      <c r="C141" s="126">
        <f t="shared" si="10"/>
        <v>48700</v>
      </c>
      <c r="D141" s="127">
        <f>VLOOKUP(B141,'Q.1 Data'!$B$5:$C$208,2,FALSE)</f>
        <v>247.6</v>
      </c>
      <c r="E141" s="128"/>
    </row>
    <row r="142" spans="2:5" x14ac:dyDescent="0.3">
      <c r="B142" s="126">
        <f>'Q.1 (i)'!B139</f>
        <v>48639</v>
      </c>
      <c r="C142" s="126">
        <f t="shared" si="10"/>
        <v>48731</v>
      </c>
      <c r="D142" s="127">
        <f>VLOOKUP(B142,'Q.1 Data'!$B$5:$C$208,2,FALSE)</f>
        <v>248.7</v>
      </c>
      <c r="E142" s="128"/>
    </row>
    <row r="143" spans="2:5" x14ac:dyDescent="0.3">
      <c r="B143" s="126">
        <f>'Q.1 (i)'!B140</f>
        <v>48670</v>
      </c>
      <c r="C143" s="126">
        <f t="shared" si="10"/>
        <v>48761</v>
      </c>
      <c r="D143" s="127">
        <f>VLOOKUP(B143,'Q.1 Data'!$B$5:$C$208,2,FALSE)</f>
        <v>249.5</v>
      </c>
      <c r="E143" s="128"/>
    </row>
    <row r="144" spans="2:5" x14ac:dyDescent="0.3">
      <c r="B144" s="126">
        <f>'Q.1 (i)'!B141</f>
        <v>48700</v>
      </c>
      <c r="C144" s="126">
        <f t="shared" si="10"/>
        <v>48792</v>
      </c>
      <c r="D144" s="127">
        <f>VLOOKUP(B144,'Q.1 Data'!$B$5:$C$208,2,FALSE)</f>
        <v>250</v>
      </c>
      <c r="E144" s="128"/>
    </row>
    <row r="145" spans="2:5" x14ac:dyDescent="0.3">
      <c r="B145" s="126">
        <f>'Q.1 (i)'!B142</f>
        <v>48731</v>
      </c>
      <c r="C145" s="126">
        <f t="shared" si="10"/>
        <v>48823</v>
      </c>
      <c r="D145" s="127">
        <f>VLOOKUP(B145,'Q.1 Data'!$B$5:$C$208,2,FALSE)</f>
        <v>249.7</v>
      </c>
      <c r="E145" s="128"/>
    </row>
    <row r="146" spans="2:5" x14ac:dyDescent="0.3">
      <c r="B146" s="126">
        <f>'Q.1 (i)'!B143</f>
        <v>48761</v>
      </c>
      <c r="C146" s="126">
        <f t="shared" si="10"/>
        <v>48853</v>
      </c>
      <c r="D146" s="127">
        <f>VLOOKUP(B146,'Q.1 Data'!$B$5:$C$208,2,FALSE)</f>
        <v>249.7</v>
      </c>
      <c r="E146" s="128"/>
    </row>
    <row r="147" spans="2:5" x14ac:dyDescent="0.3">
      <c r="B147" s="126">
        <f>'Q.1 (i)'!B144</f>
        <v>48792</v>
      </c>
      <c r="C147" s="126">
        <f t="shared" si="10"/>
        <v>48884</v>
      </c>
      <c r="D147" s="127">
        <f>VLOOKUP(B147,'Q.1 Data'!$B$5:$C$208,2,FALSE)</f>
        <v>251</v>
      </c>
      <c r="E147" s="128"/>
    </row>
    <row r="148" spans="2:5" x14ac:dyDescent="0.3">
      <c r="B148" s="126">
        <f>'Q.1 (i)'!B145</f>
        <v>48823</v>
      </c>
      <c r="C148" s="126">
        <f t="shared" si="10"/>
        <v>48914</v>
      </c>
      <c r="D148" s="127">
        <f>VLOOKUP(B148,'Q.1 Data'!$B$5:$C$208,2,FALSE)</f>
        <v>251.9</v>
      </c>
      <c r="E148" s="128"/>
    </row>
    <row r="149" spans="2:5" x14ac:dyDescent="0.3">
      <c r="B149" s="126">
        <f>'Q.1 (i)'!B146</f>
        <v>48853</v>
      </c>
      <c r="C149" s="126">
        <f t="shared" si="10"/>
        <v>48945</v>
      </c>
      <c r="D149" s="127">
        <f>VLOOKUP(B149,'Q.1 Data'!$B$5:$C$208,2,FALSE)</f>
        <v>251.9</v>
      </c>
      <c r="E149" s="128"/>
    </row>
    <row r="150" spans="2:5" x14ac:dyDescent="0.3">
      <c r="B150" s="126">
        <f>'Q.1 (i)'!B147</f>
        <v>48884</v>
      </c>
      <c r="C150" s="126">
        <f t="shared" si="10"/>
        <v>48976</v>
      </c>
      <c r="D150" s="127">
        <f>VLOOKUP(B150,'Q.1 Data'!$B$5:$C$208,2,FALSE)</f>
        <v>252.1</v>
      </c>
      <c r="E150" s="128"/>
    </row>
    <row r="151" spans="2:5" x14ac:dyDescent="0.3">
      <c r="B151" s="126">
        <f>'Q.1 (i)'!B148</f>
        <v>48914</v>
      </c>
      <c r="C151" s="126">
        <f t="shared" si="10"/>
        <v>49004</v>
      </c>
      <c r="D151" s="127">
        <f>VLOOKUP(B151,'Q.1 Data'!$B$5:$C$208,2,FALSE)</f>
        <v>253.4</v>
      </c>
      <c r="E151" s="128"/>
    </row>
    <row r="152" spans="2:5" x14ac:dyDescent="0.3">
      <c r="B152" s="126">
        <f>'Q.1 (i)'!B149</f>
        <v>48945</v>
      </c>
      <c r="C152" s="126">
        <f t="shared" si="10"/>
        <v>49035</v>
      </c>
      <c r="D152" s="127">
        <f>VLOOKUP(B152,'Q.1 Data'!$B$5:$C$208,2,FALSE)</f>
        <v>252.6</v>
      </c>
      <c r="E152" s="128"/>
    </row>
    <row r="153" spans="2:5" x14ac:dyDescent="0.3">
      <c r="B153" s="126">
        <f>'Q.1 (i)'!B150</f>
        <v>48976</v>
      </c>
      <c r="C153" s="126">
        <f t="shared" si="10"/>
        <v>49065</v>
      </c>
      <c r="D153" s="127">
        <f>VLOOKUP(B153,'Q.1 Data'!$B$5:$C$208,2,FALSE)</f>
        <v>254.2</v>
      </c>
      <c r="E153" s="128"/>
    </row>
    <row r="154" spans="2:5" x14ac:dyDescent="0.3">
      <c r="B154" s="126">
        <f>'Q.1 (i)'!B151</f>
        <v>49004</v>
      </c>
      <c r="C154" s="126">
        <f t="shared" si="10"/>
        <v>49096</v>
      </c>
      <c r="D154" s="127">
        <f>VLOOKUP(B154,'Q.1 Data'!$B$5:$C$208,2,FALSE)</f>
        <v>254.8</v>
      </c>
      <c r="E154" s="128"/>
    </row>
    <row r="155" spans="2:5" x14ac:dyDescent="0.3">
      <c r="B155" s="126">
        <f>'Q.1 (i)'!B152</f>
        <v>49035</v>
      </c>
      <c r="C155" s="126">
        <f t="shared" si="10"/>
        <v>49126</v>
      </c>
      <c r="D155" s="127">
        <f>VLOOKUP(B155,'Q.1 Data'!$B$5:$C$208,2,FALSE)</f>
        <v>255.7</v>
      </c>
      <c r="E155" s="128"/>
    </row>
    <row r="156" spans="2:5" x14ac:dyDescent="0.3">
      <c r="B156" s="126">
        <f>'Q.1 (i)'!B153</f>
        <v>49065</v>
      </c>
      <c r="C156" s="126">
        <f t="shared" si="10"/>
        <v>49157</v>
      </c>
      <c r="D156" s="127">
        <f>VLOOKUP(B156,'Q.1 Data'!$B$5:$C$208,2,FALSE)</f>
        <v>255.9</v>
      </c>
      <c r="E156" s="128"/>
    </row>
    <row r="157" spans="2:5" x14ac:dyDescent="0.3">
      <c r="B157" s="126">
        <f>'Q.1 (i)'!B154</f>
        <v>49096</v>
      </c>
      <c r="C157" s="126">
        <f t="shared" si="10"/>
        <v>49188</v>
      </c>
      <c r="D157" s="127">
        <f>VLOOKUP(B157,'Q.1 Data'!$B$5:$C$208,2,FALSE)</f>
        <v>256.3</v>
      </c>
      <c r="E157" s="128"/>
    </row>
    <row r="158" spans="2:5" x14ac:dyDescent="0.3">
      <c r="B158" s="126">
        <f>'Q.1 (i)'!B155</f>
        <v>49126</v>
      </c>
      <c r="C158" s="126">
        <f t="shared" si="10"/>
        <v>49218</v>
      </c>
      <c r="D158" s="127">
        <f>VLOOKUP(B158,'Q.1 Data'!$B$5:$C$208,2,FALSE)</f>
        <v>256</v>
      </c>
      <c r="E158" s="128"/>
    </row>
    <row r="159" spans="2:5" x14ac:dyDescent="0.3">
      <c r="B159" s="126">
        <f>'Q.1 (i)'!B156</f>
        <v>49157</v>
      </c>
      <c r="C159" s="126">
        <f t="shared" si="10"/>
        <v>49249</v>
      </c>
      <c r="D159" s="127">
        <f>VLOOKUP(B159,'Q.1 Data'!$B$5:$C$208,2,FALSE)</f>
        <v>257</v>
      </c>
      <c r="E159" s="128"/>
    </row>
    <row r="160" spans="2:5" x14ac:dyDescent="0.3">
      <c r="B160" s="126">
        <f>'Q.1 (i)'!B157</f>
        <v>49188</v>
      </c>
      <c r="C160" s="126">
        <f t="shared" si="10"/>
        <v>49279</v>
      </c>
      <c r="D160" s="127">
        <f>VLOOKUP(B160,'Q.1 Data'!$B$5:$C$208,2,FALSE)</f>
        <v>257.60000000000002</v>
      </c>
      <c r="E160" s="128"/>
    </row>
    <row r="161" spans="2:5" x14ac:dyDescent="0.3">
      <c r="B161" s="126">
        <f>'Q.1 (i)'!B158</f>
        <v>49218</v>
      </c>
      <c r="C161" s="126">
        <f t="shared" si="10"/>
        <v>49310</v>
      </c>
      <c r="D161" s="127">
        <f>VLOOKUP(B161,'Q.1 Data'!$B$5:$C$208,2,FALSE)</f>
        <v>257.7</v>
      </c>
      <c r="E161" s="128"/>
    </row>
    <row r="162" spans="2:5" x14ac:dyDescent="0.3">
      <c r="B162" s="126">
        <f>'Q.1 (i)'!B159</f>
        <v>49249</v>
      </c>
      <c r="C162" s="126">
        <f t="shared" si="10"/>
        <v>49341</v>
      </c>
      <c r="D162" s="127">
        <f>VLOOKUP(B162,'Q.1 Data'!$B$5:$C$208,2,FALSE)</f>
        <v>257.10000000000002</v>
      </c>
      <c r="E162" s="128"/>
    </row>
    <row r="163" spans="2:5" x14ac:dyDescent="0.3">
      <c r="B163" s="126">
        <f>'Q.1 (i)'!B160</f>
        <v>49279</v>
      </c>
      <c r="C163" s="126">
        <f t="shared" si="10"/>
        <v>49369</v>
      </c>
      <c r="D163" s="127">
        <f>VLOOKUP(B163,'Q.1 Data'!$B$5:$C$208,2,FALSE)</f>
        <v>257.5</v>
      </c>
      <c r="E163" s="128"/>
    </row>
    <row r="164" spans="2:5" x14ac:dyDescent="0.3">
      <c r="B164" s="126">
        <f>'Q.1 (i)'!B161</f>
        <v>49310</v>
      </c>
      <c r="C164" s="126">
        <f t="shared" si="10"/>
        <v>49400</v>
      </c>
      <c r="D164" s="127">
        <f>VLOOKUP(B164,'Q.1 Data'!$B$5:$C$208,2,FALSE)</f>
        <v>255.4</v>
      </c>
      <c r="E164" s="128"/>
    </row>
    <row r="165" spans="2:5" x14ac:dyDescent="0.3">
      <c r="B165" s="126">
        <f>'Q.1 (i)'!B162</f>
        <v>49341</v>
      </c>
      <c r="C165" s="126">
        <f t="shared" si="10"/>
        <v>49430</v>
      </c>
      <c r="D165" s="127">
        <f>VLOOKUP(B165,'Q.1 Data'!$B$5:$C$208,2,FALSE)</f>
        <v>256.7</v>
      </c>
      <c r="E165" s="128"/>
    </row>
    <row r="166" spans="2:5" x14ac:dyDescent="0.3">
      <c r="B166" s="126">
        <f>'Q.1 (i)'!B163</f>
        <v>49369</v>
      </c>
      <c r="C166" s="126">
        <f t="shared" si="10"/>
        <v>49461</v>
      </c>
      <c r="D166" s="127">
        <f>VLOOKUP(B166,'Q.1 Data'!$B$5:$C$208,2,FALSE)</f>
        <v>257.10000000000002</v>
      </c>
      <c r="E166" s="128"/>
    </row>
    <row r="167" spans="2:5" x14ac:dyDescent="0.3">
      <c r="B167" s="126">
        <f>'Q.1 (i)'!B164</f>
        <v>49400</v>
      </c>
      <c r="C167" s="126">
        <f t="shared" si="10"/>
        <v>49491</v>
      </c>
      <c r="D167" s="127">
        <f>VLOOKUP(B167,'Q.1 Data'!$B$5:$C$208,2,FALSE)</f>
        <v>258</v>
      </c>
      <c r="E167" s="128"/>
    </row>
    <row r="168" spans="2:5" x14ac:dyDescent="0.3">
      <c r="B168" s="126">
        <f>'Q.1 (i)'!B165</f>
        <v>49430</v>
      </c>
      <c r="C168" s="126">
        <f t="shared" si="10"/>
        <v>49522</v>
      </c>
      <c r="D168" s="127">
        <f>VLOOKUP(B168,'Q.1 Data'!$B$5:$C$208,2,FALSE)</f>
        <v>258.5</v>
      </c>
      <c r="E168" s="128"/>
    </row>
    <row r="169" spans="2:5" x14ac:dyDescent="0.3">
      <c r="B169" s="126">
        <f>'Q.1 (i)'!B166</f>
        <v>49461</v>
      </c>
      <c r="C169" s="126">
        <f t="shared" si="10"/>
        <v>49553</v>
      </c>
      <c r="D169" s="127">
        <f>VLOOKUP(B169,'Q.1 Data'!$B$5:$C$208,2,FALSE)</f>
        <v>258.89999999999998</v>
      </c>
      <c r="E169" s="128"/>
    </row>
    <row r="170" spans="2:5" x14ac:dyDescent="0.3">
      <c r="B170" s="126">
        <f>'Q.1 (i)'!B167</f>
        <v>49491</v>
      </c>
      <c r="C170" s="126">
        <f t="shared" si="10"/>
        <v>49583</v>
      </c>
      <c r="D170" s="127">
        <f>VLOOKUP(B170,'Q.1 Data'!$B$5:$C$208,2,FALSE)</f>
        <v>258.60000000000002</v>
      </c>
      <c r="E170" s="128"/>
    </row>
    <row r="171" spans="2:5" x14ac:dyDescent="0.3">
      <c r="B171" s="126">
        <f>'Q.1 (i)'!B168</f>
        <v>49522</v>
      </c>
      <c r="C171" s="126">
        <f t="shared" si="10"/>
        <v>49614</v>
      </c>
      <c r="D171" s="127">
        <f>VLOOKUP(B171,'Q.1 Data'!$B$5:$C$208,2,FALSE)</f>
        <v>259.8</v>
      </c>
      <c r="E171" s="128"/>
    </row>
    <row r="172" spans="2:5" x14ac:dyDescent="0.3">
      <c r="B172" s="126">
        <f>'Q.1 (i)'!B169</f>
        <v>49553</v>
      </c>
      <c r="C172" s="126">
        <f t="shared" si="10"/>
        <v>49644</v>
      </c>
      <c r="D172" s="127">
        <f>VLOOKUP(B172,'Q.1 Data'!$B$5:$C$208,2,FALSE)</f>
        <v>259.60000000000002</v>
      </c>
      <c r="E172" s="128"/>
    </row>
    <row r="173" spans="2:5" x14ac:dyDescent="0.3">
      <c r="B173" s="126">
        <f>'Q.1 (i)'!B170</f>
        <v>49583</v>
      </c>
      <c r="C173" s="126">
        <f t="shared" si="10"/>
        <v>49675</v>
      </c>
      <c r="D173" s="127">
        <f>VLOOKUP(B173,'Q.1 Data'!$B$5:$C$208,2,FALSE)</f>
        <v>259.5</v>
      </c>
      <c r="E173" s="128"/>
    </row>
    <row r="174" spans="2:5" x14ac:dyDescent="0.3">
      <c r="B174" s="126">
        <f>'Q.1 (i)'!B171</f>
        <v>49614</v>
      </c>
      <c r="C174" s="126">
        <f t="shared" si="10"/>
        <v>49706</v>
      </c>
      <c r="D174" s="127">
        <f>VLOOKUP(B174,'Q.1 Data'!$B$5:$C$208,2,FALSE)</f>
        <v>259.8</v>
      </c>
      <c r="E174" s="128"/>
    </row>
    <row r="175" spans="2:5" x14ac:dyDescent="0.3">
      <c r="B175" s="126">
        <f>'Q.1 (i)'!B172</f>
        <v>49644</v>
      </c>
      <c r="C175" s="126">
        <f t="shared" si="10"/>
        <v>49735</v>
      </c>
      <c r="D175" s="127">
        <f>VLOOKUP(B175,'Q.1 Data'!$B$5:$C$208,2,FALSE)</f>
        <v>260.60000000000002</v>
      </c>
      <c r="E175" s="128"/>
    </row>
    <row r="176" spans="2:5" x14ac:dyDescent="0.3">
      <c r="B176" s="126">
        <f>'Q.1 (i)'!B173</f>
        <v>49675</v>
      </c>
      <c r="C176" s="126">
        <f t="shared" si="10"/>
        <v>49766</v>
      </c>
      <c r="D176" s="127">
        <f>VLOOKUP(B176,'Q.1 Data'!$B$5:$C$208,2,FALSE)</f>
        <v>258.8</v>
      </c>
      <c r="E176" s="128"/>
    </row>
    <row r="177" spans="2:5" x14ac:dyDescent="0.3">
      <c r="B177" s="126">
        <f>'Q.1 (i)'!B174</f>
        <v>49706</v>
      </c>
      <c r="C177" s="126">
        <f t="shared" si="10"/>
        <v>49796</v>
      </c>
      <c r="D177" s="127">
        <f>VLOOKUP(B177,'Q.1 Data'!$B$5:$C$208,2,FALSE)</f>
        <v>260</v>
      </c>
      <c r="E177" s="128"/>
    </row>
    <row r="178" spans="2:5" x14ac:dyDescent="0.3">
      <c r="B178" s="126">
        <f>'Q.1 (i)'!B175</f>
        <v>49735</v>
      </c>
      <c r="C178" s="126">
        <f t="shared" si="10"/>
        <v>49827</v>
      </c>
      <c r="D178" s="127">
        <f>VLOOKUP(B178,'Q.1 Data'!$B$5:$C$208,2,FALSE)</f>
        <v>261.10000000000002</v>
      </c>
      <c r="E178" s="128"/>
    </row>
    <row r="179" spans="2:5" x14ac:dyDescent="0.3">
      <c r="B179" s="126">
        <f>'Q.1 (i)'!B176</f>
        <v>49766</v>
      </c>
      <c r="C179" s="126">
        <f t="shared" si="10"/>
        <v>49857</v>
      </c>
      <c r="D179" s="127">
        <f>VLOOKUP(B179,'Q.1 Data'!$B$5:$C$208,2,FALSE)</f>
        <v>261.39999999999998</v>
      </c>
      <c r="E179" s="128"/>
    </row>
    <row r="180" spans="2:5" x14ac:dyDescent="0.3">
      <c r="B180" s="126">
        <f>'Q.1 (i)'!B177</f>
        <v>49796</v>
      </c>
      <c r="C180" s="126">
        <f t="shared" si="10"/>
        <v>49888</v>
      </c>
      <c r="D180" s="127">
        <f>VLOOKUP(B180,'Q.1 Data'!$B$5:$C$208,2,FALSE)</f>
        <v>262.10000000000002</v>
      </c>
      <c r="E180" s="128"/>
    </row>
    <row r="181" spans="2:5" x14ac:dyDescent="0.3">
      <c r="B181" s="126">
        <f>'Q.1 (i)'!B178</f>
        <v>49827</v>
      </c>
      <c r="C181" s="126">
        <f t="shared" si="10"/>
        <v>49919</v>
      </c>
      <c r="D181" s="127">
        <f>VLOOKUP(B181,'Q.1 Data'!$B$5:$C$208,2,FALSE)</f>
        <v>263.10000000000002</v>
      </c>
      <c r="E181" s="128"/>
    </row>
    <row r="182" spans="2:5" x14ac:dyDescent="0.3">
      <c r="B182" s="126">
        <f>'Q.1 (i)'!B179</f>
        <v>49857</v>
      </c>
      <c r="C182" s="126">
        <f t="shared" si="10"/>
        <v>49949</v>
      </c>
      <c r="D182" s="127">
        <f>VLOOKUP(B182,'Q.1 Data'!$B$5:$C$208,2,FALSE)</f>
        <v>263.39999999999998</v>
      </c>
      <c r="E182" s="128"/>
    </row>
    <row r="183" spans="2:5" x14ac:dyDescent="0.3">
      <c r="B183" s="126">
        <f>'Q.1 (i)'!B180</f>
        <v>49888</v>
      </c>
      <c r="C183" s="126">
        <f t="shared" si="10"/>
        <v>49980</v>
      </c>
      <c r="D183" s="127">
        <f>VLOOKUP(B183,'Q.1 Data'!$B$5:$C$208,2,FALSE)</f>
        <v>264.39999999999998</v>
      </c>
      <c r="E183" s="128"/>
    </row>
    <row r="184" spans="2:5" x14ac:dyDescent="0.3">
      <c r="B184" s="126">
        <f>'Q.1 (i)'!B181</f>
        <v>49919</v>
      </c>
      <c r="C184" s="126">
        <f t="shared" si="10"/>
        <v>50010</v>
      </c>
      <c r="D184" s="127">
        <f>VLOOKUP(B184,'Q.1 Data'!$B$5:$C$208,2,FALSE)</f>
        <v>264.89999999999998</v>
      </c>
      <c r="E184" s="128"/>
    </row>
    <row r="185" spans="2:5" x14ac:dyDescent="0.3">
      <c r="B185" s="126">
        <f>'Q.1 (i)'!B182</f>
        <v>49949</v>
      </c>
      <c r="C185" s="126">
        <f t="shared" si="10"/>
        <v>50041</v>
      </c>
      <c r="D185" s="127">
        <f>VLOOKUP(B185,'Q.1 Data'!$B$5:$C$208,2,FALSE)</f>
        <v>264.8</v>
      </c>
      <c r="E185" s="128"/>
    </row>
    <row r="186" spans="2:5" x14ac:dyDescent="0.3">
      <c r="B186" s="126">
        <f>'Q.1 (i)'!B183</f>
        <v>49980</v>
      </c>
      <c r="C186" s="126">
        <f t="shared" si="10"/>
        <v>50072</v>
      </c>
      <c r="D186" s="127">
        <f>VLOOKUP(B186,'Q.1 Data'!$B$5:$C$208,2,FALSE)</f>
        <v>265.5</v>
      </c>
      <c r="E186" s="128"/>
    </row>
    <row r="187" spans="2:5" x14ac:dyDescent="0.3">
      <c r="B187" s="126">
        <f>'Q.1 (i)'!B184</f>
        <v>50010</v>
      </c>
      <c r="C187" s="126">
        <f t="shared" si="10"/>
        <v>50100</v>
      </c>
      <c r="D187" s="127">
        <f>VLOOKUP(B187,'Q.1 Data'!$B$5:$C$208,2,FALSE)</f>
        <v>267.10000000000002</v>
      </c>
      <c r="E187" s="128"/>
    </row>
    <row r="188" spans="2:5" x14ac:dyDescent="0.3">
      <c r="B188" s="126">
        <f>'Q.1 (i)'!B185</f>
        <v>50041</v>
      </c>
      <c r="C188" s="126">
        <f t="shared" si="10"/>
        <v>50131</v>
      </c>
      <c r="D188" s="127">
        <f>VLOOKUP(B188,'Q.1 Data'!$B$5:$C$208,2,FALSE)</f>
        <v>265.5</v>
      </c>
      <c r="E188" s="128"/>
    </row>
    <row r="189" spans="2:5" x14ac:dyDescent="0.3">
      <c r="B189" s="126">
        <f>'Q.1 (i)'!B186</f>
        <v>50072</v>
      </c>
      <c r="C189" s="126">
        <f t="shared" si="10"/>
        <v>50161</v>
      </c>
      <c r="D189" s="127">
        <f>VLOOKUP(B189,'Q.1 Data'!$B$5:$C$208,2,FALSE)</f>
        <v>268.39999999999998</v>
      </c>
      <c r="E189" s="128"/>
    </row>
    <row r="190" spans="2:5" x14ac:dyDescent="0.3">
      <c r="B190" s="126">
        <f>'Q.1 (i)'!B187</f>
        <v>50100</v>
      </c>
      <c r="C190" s="126">
        <f t="shared" si="10"/>
        <v>50192</v>
      </c>
      <c r="D190" s="127">
        <f>VLOOKUP(B190,'Q.1 Data'!$B$5:$C$208,2,FALSE)</f>
        <v>269.3</v>
      </c>
      <c r="E190" s="128"/>
    </row>
    <row r="191" spans="2:5" x14ac:dyDescent="0.3">
      <c r="B191" s="126">
        <f>'Q.1 (i)'!B188</f>
        <v>50131</v>
      </c>
      <c r="C191" s="126">
        <f t="shared" si="10"/>
        <v>50222</v>
      </c>
      <c r="D191" s="127">
        <f>VLOOKUP(B191,'Q.1 Data'!$B$5:$C$208,2,FALSE)</f>
        <v>270.60000000000002</v>
      </c>
      <c r="E191" s="128"/>
    </row>
    <row r="192" spans="2:5" x14ac:dyDescent="0.3">
      <c r="B192" s="126">
        <f>'Q.1 (i)'!B189</f>
        <v>50161</v>
      </c>
      <c r="C192" s="126">
        <f t="shared" si="10"/>
        <v>50253</v>
      </c>
      <c r="D192" s="127">
        <f>VLOOKUP(B192,'Q.1 Data'!$B$5:$C$208,2,FALSE)</f>
        <v>271.7</v>
      </c>
      <c r="E192" s="128"/>
    </row>
    <row r="193" spans="2:5" x14ac:dyDescent="0.3">
      <c r="B193" s="126">
        <f>'Q.1 (i)'!B190</f>
        <v>50192</v>
      </c>
      <c r="C193" s="126">
        <f t="shared" si="10"/>
        <v>50284</v>
      </c>
      <c r="D193" s="127">
        <f>VLOOKUP(B193,'Q.1 Data'!$B$5:$C$208,2,FALSE)</f>
        <v>272.3</v>
      </c>
      <c r="E193" s="128"/>
    </row>
    <row r="194" spans="2:5" x14ac:dyDescent="0.3">
      <c r="B194" s="126">
        <f>'Q.1 (i)'!B191</f>
        <v>50222</v>
      </c>
      <c r="C194" s="126">
        <f t="shared" si="10"/>
        <v>50314</v>
      </c>
      <c r="D194" s="127">
        <f>VLOOKUP(B194,'Q.1 Data'!$B$5:$C$208,2,FALSE)</f>
        <v>272.89999999999998</v>
      </c>
      <c r="E194" s="128"/>
    </row>
    <row r="195" spans="2:5" x14ac:dyDescent="0.3">
      <c r="B195" s="126">
        <f>'Q.1 (i)'!B192</f>
        <v>50253</v>
      </c>
      <c r="C195" s="126">
        <f t="shared" si="10"/>
        <v>50345</v>
      </c>
      <c r="D195" s="127">
        <f>VLOOKUP(B195,'Q.1 Data'!$B$5:$C$208,2,FALSE)</f>
        <v>274.7</v>
      </c>
      <c r="E195" s="128"/>
    </row>
    <row r="196" spans="2:5" x14ac:dyDescent="0.3">
      <c r="B196" s="126">
        <f>'Q.1 (i)'!B193</f>
        <v>50284</v>
      </c>
      <c r="C196" s="126">
        <f t="shared" si="10"/>
        <v>50375</v>
      </c>
      <c r="D196" s="127">
        <f>VLOOKUP(B196,'Q.1 Data'!$B$5:$C$208,2,FALSE)</f>
        <v>275.10000000000002</v>
      </c>
      <c r="E196" s="128"/>
    </row>
    <row r="197" spans="2:5" x14ac:dyDescent="0.3">
      <c r="B197" s="126">
        <f>'Q.1 (i)'!B194</f>
        <v>50314</v>
      </c>
      <c r="C197" s="126">
        <f t="shared" si="10"/>
        <v>50406</v>
      </c>
      <c r="D197" s="127">
        <f>VLOOKUP(B197,'Q.1 Data'!$B$5:$C$208,2,FALSE)</f>
        <v>275.3</v>
      </c>
      <c r="E197" s="128"/>
    </row>
    <row r="198" spans="2:5" x14ac:dyDescent="0.3">
      <c r="B198" s="126">
        <f>'Q.1 (i)'!B195</f>
        <v>50345</v>
      </c>
      <c r="C198" s="126">
        <f t="shared" si="10"/>
        <v>50437</v>
      </c>
      <c r="D198" s="127">
        <f>VLOOKUP(B198,'Q.1 Data'!$B$5:$C$208,2,FALSE)</f>
        <v>279.5</v>
      </c>
      <c r="E198" s="128"/>
    </row>
    <row r="199" spans="2:5" x14ac:dyDescent="0.3">
      <c r="B199" s="126">
        <f>'Q.1 (i)'!B196</f>
        <v>50375</v>
      </c>
      <c r="C199" s="126">
        <f t="shared" si="10"/>
        <v>50465</v>
      </c>
      <c r="D199" s="127">
        <f>VLOOKUP(B199,'Q.1 Data'!$B$5:$C$208,2,FALSE)</f>
        <v>283.8</v>
      </c>
      <c r="E199" s="128"/>
    </row>
    <row r="200" spans="2:5" x14ac:dyDescent="0.3">
      <c r="B200" s="126">
        <f>'Q.1 (i)'!B197</f>
        <v>50406</v>
      </c>
      <c r="C200" s="126">
        <f t="shared" si="10"/>
        <v>50496</v>
      </c>
      <c r="D200" s="127">
        <f>VLOOKUP(B200,'Q.1 Data'!$B$5:$C$208,2,FALSE)</f>
        <v>288.10000000000002</v>
      </c>
      <c r="E200" s="128"/>
    </row>
    <row r="201" spans="2:5" x14ac:dyDescent="0.3">
      <c r="B201" s="126">
        <f>'Q.1 (i)'!B198</f>
        <v>50437</v>
      </c>
      <c r="C201" s="126">
        <f t="shared" ref="C201:C208" si="11">B204</f>
        <v>50526</v>
      </c>
      <c r="D201" s="127">
        <f>VLOOKUP(B201,'Q.1 Data'!$B$5:$C$208,2,FALSE)</f>
        <v>292.5</v>
      </c>
      <c r="E201" s="128"/>
    </row>
    <row r="202" spans="2:5" x14ac:dyDescent="0.3">
      <c r="B202" s="126">
        <f>'Q.1 (i)'!B199</f>
        <v>50465</v>
      </c>
      <c r="C202" s="126">
        <f t="shared" si="11"/>
        <v>50557</v>
      </c>
      <c r="D202" s="127">
        <f>VLOOKUP(B202,'Q.1 Data'!$B$5:$C$208,2,FALSE)</f>
        <v>297</v>
      </c>
      <c r="E202" s="128"/>
    </row>
    <row r="203" spans="2:5" x14ac:dyDescent="0.3">
      <c r="B203" s="126">
        <f>'Q.1 (i)'!B200</f>
        <v>50496</v>
      </c>
      <c r="C203" s="126">
        <f t="shared" si="11"/>
        <v>50587</v>
      </c>
      <c r="D203" s="127">
        <f>VLOOKUP(B203,'Q.1 Data'!$B$5:$C$208,2,FALSE)</f>
        <v>301.5</v>
      </c>
      <c r="E203" s="128"/>
    </row>
    <row r="204" spans="2:5" x14ac:dyDescent="0.3">
      <c r="B204" s="126">
        <f>'Q.1 (i)'!B201</f>
        <v>50526</v>
      </c>
      <c r="C204" s="126">
        <f t="shared" si="11"/>
        <v>50618</v>
      </c>
      <c r="D204" s="127">
        <f>VLOOKUP(B204,'Q.1 Data'!$B$5:$C$208,2,FALSE)</f>
        <v>306.10000000000002</v>
      </c>
      <c r="E204" s="128"/>
    </row>
    <row r="205" spans="2:5" x14ac:dyDescent="0.3">
      <c r="B205" s="126">
        <f>'Q.1 (i)'!B202</f>
        <v>50557</v>
      </c>
      <c r="C205" s="126">
        <f t="shared" si="11"/>
        <v>50649</v>
      </c>
      <c r="D205" s="127">
        <f>VLOOKUP(B205,'Q.1 Data'!$B$5:$C$208,2,FALSE)</f>
        <v>310.8</v>
      </c>
      <c r="E205" s="128"/>
    </row>
    <row r="206" spans="2:5" x14ac:dyDescent="0.3">
      <c r="B206" s="126">
        <f>'Q.1 (i)'!B203</f>
        <v>50587</v>
      </c>
      <c r="C206" s="126">
        <f t="shared" si="11"/>
        <v>50679</v>
      </c>
      <c r="D206" s="127">
        <f>VLOOKUP(B206,'Q.1 Data'!$B$5:$C$208,2,FALSE)</f>
        <v>315.60000000000002</v>
      </c>
      <c r="E206" s="128"/>
    </row>
    <row r="207" spans="2:5" x14ac:dyDescent="0.3">
      <c r="B207" s="126">
        <f>'Q.1 (i)'!B204</f>
        <v>50618</v>
      </c>
      <c r="C207" s="126">
        <f t="shared" si="11"/>
        <v>50710</v>
      </c>
      <c r="D207" s="127">
        <f>VLOOKUP(B207,'Q.1 Data'!$B$5:$C$208,2,FALSE)</f>
        <v>320.39999999999998</v>
      </c>
      <c r="E207" s="128"/>
    </row>
    <row r="208" spans="2:5" x14ac:dyDescent="0.3">
      <c r="B208" s="126">
        <f>'Q.1 (i)'!B205</f>
        <v>50649</v>
      </c>
      <c r="C208" s="126">
        <f t="shared" si="11"/>
        <v>50740</v>
      </c>
      <c r="D208" s="127">
        <f>VLOOKUP(B208,'Q.1 Data'!$B$5:$C$208,2,FALSE)</f>
        <v>325.3</v>
      </c>
      <c r="E208" s="128"/>
    </row>
    <row r="209" spans="2:5" x14ac:dyDescent="0.3">
      <c r="B209" s="126">
        <f>'Q.1 (i)'!B206</f>
        <v>50679</v>
      </c>
      <c r="C209" s="127"/>
      <c r="D209" s="127">
        <f>VLOOKUP(B209,'Q.1 Data'!$B$5:$C$208,2,FALSE)</f>
        <v>330.3</v>
      </c>
      <c r="E209" s="128"/>
    </row>
    <row r="210" spans="2:5" x14ac:dyDescent="0.3">
      <c r="B210" s="126">
        <f>'Q.1 (i)'!B207</f>
        <v>50710</v>
      </c>
      <c r="C210" s="126"/>
      <c r="D210" s="127">
        <f>VLOOKUP(B210,'Q.1 Data'!$B$5:$C$208,2,FALSE)</f>
        <v>335.4</v>
      </c>
      <c r="E210" s="128"/>
    </row>
    <row r="211" spans="2:5" x14ac:dyDescent="0.3">
      <c r="B211" s="126">
        <f>'Q.1 (i)'!B208</f>
        <v>50740</v>
      </c>
      <c r="C211" s="126"/>
      <c r="D211" s="127">
        <f>VLOOKUP(B211,'Q.1 Data'!$B$5:$C$208,2,FALSE)</f>
        <v>340.5</v>
      </c>
      <c r="E211" s="128"/>
    </row>
    <row r="212" spans="2:5" x14ac:dyDescent="0.3">
      <c r="C212" s="128"/>
      <c r="D212" s="128"/>
      <c r="E212" s="128"/>
    </row>
    <row r="213" spans="2:5" x14ac:dyDescent="0.3">
      <c r="C213" s="128"/>
      <c r="D213" s="128"/>
      <c r="E213" s="128"/>
    </row>
    <row r="214" spans="2:5" x14ac:dyDescent="0.3">
      <c r="C214" s="128"/>
      <c r="D214" s="128"/>
      <c r="E214" s="128"/>
    </row>
    <row r="215" spans="2:5" x14ac:dyDescent="0.3">
      <c r="C215" s="128"/>
      <c r="D215" s="128"/>
      <c r="E215" s="128"/>
    </row>
    <row r="216" spans="2:5" x14ac:dyDescent="0.3">
      <c r="C216" s="128"/>
      <c r="D216" s="128"/>
      <c r="E216" s="128"/>
    </row>
    <row r="217" spans="2:5" x14ac:dyDescent="0.3">
      <c r="C217" s="128"/>
      <c r="D217" s="128"/>
      <c r="E217" s="128"/>
    </row>
    <row r="218" spans="2:5" x14ac:dyDescent="0.3">
      <c r="C218" s="128"/>
      <c r="D218" s="128"/>
      <c r="E218" s="128"/>
    </row>
    <row r="219" spans="2:5" x14ac:dyDescent="0.3">
      <c r="C219" s="128"/>
      <c r="D219" s="128"/>
      <c r="E219" s="128"/>
    </row>
    <row r="220" spans="2:5" x14ac:dyDescent="0.3">
      <c r="C220" s="128"/>
      <c r="D220" s="128"/>
      <c r="E220" s="128"/>
    </row>
    <row r="221" spans="2:5" x14ac:dyDescent="0.3">
      <c r="C221" s="128"/>
      <c r="D221" s="128"/>
      <c r="E221" s="128"/>
    </row>
    <row r="222" spans="2:5" x14ac:dyDescent="0.3">
      <c r="C222" s="128"/>
      <c r="D222" s="128"/>
      <c r="E222" s="1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11"/>
  <sheetViews>
    <sheetView zoomScaleNormal="100" workbookViewId="0"/>
  </sheetViews>
  <sheetFormatPr defaultColWidth="7.6640625" defaultRowHeight="13" x14ac:dyDescent="0.3"/>
  <cols>
    <col min="1" max="1" width="71.1640625" style="16" bestFit="1" customWidth="1"/>
    <col min="2" max="16384" width="7.6640625" style="3"/>
  </cols>
  <sheetData>
    <row r="2" spans="1:2" s="2" customFormat="1" ht="19" x14ac:dyDescent="0.4">
      <c r="A2" s="1"/>
    </row>
    <row r="4" spans="1:2" x14ac:dyDescent="0.3">
      <c r="A4" s="15" t="s">
        <v>21</v>
      </c>
      <c r="B4" s="98"/>
    </row>
    <row r="5" spans="1:2" x14ac:dyDescent="0.3">
      <c r="A5" s="15" t="s">
        <v>22</v>
      </c>
      <c r="B5" s="98"/>
    </row>
    <row r="6" spans="1:2" x14ac:dyDescent="0.3">
      <c r="A6" s="15" t="s">
        <v>23</v>
      </c>
      <c r="B6" s="98"/>
    </row>
    <row r="7" spans="1:2" x14ac:dyDescent="0.3">
      <c r="A7" s="15" t="s">
        <v>24</v>
      </c>
      <c r="B7" s="98"/>
    </row>
    <row r="8" spans="1:2" x14ac:dyDescent="0.3">
      <c r="A8" s="15" t="s">
        <v>25</v>
      </c>
      <c r="B8" s="98"/>
    </row>
    <row r="9" spans="1:2" x14ac:dyDescent="0.3">
      <c r="B9" s="98"/>
    </row>
    <row r="10" spans="1:2" x14ac:dyDescent="0.3">
      <c r="B10" s="99"/>
    </row>
    <row r="11" spans="1:2" x14ac:dyDescent="0.3">
      <c r="B11" s="9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7"/>
  <sheetViews>
    <sheetView topLeftCell="A3" zoomScaleNormal="100" workbookViewId="0"/>
  </sheetViews>
  <sheetFormatPr defaultColWidth="7.83203125" defaultRowHeight="12.5" x14ac:dyDescent="0.25"/>
  <cols>
    <col min="1" max="1" width="7.83203125" style="18"/>
    <col min="2" max="2" width="12.33203125" style="18" bestFit="1" customWidth="1"/>
    <col min="3" max="16384" width="7.83203125" style="18"/>
  </cols>
  <sheetData>
    <row r="1" spans="1:2" ht="13" x14ac:dyDescent="0.3">
      <c r="A1" s="17" t="s">
        <v>27</v>
      </c>
    </row>
    <row r="3" spans="1:2" ht="13" thickBot="1" x14ac:dyDescent="0.3"/>
    <row r="4" spans="1:2" ht="13" thickBot="1" x14ac:dyDescent="0.3">
      <c r="A4" s="19" t="s">
        <v>28</v>
      </c>
      <c r="B4" s="20" t="s">
        <v>29</v>
      </c>
    </row>
    <row r="5" spans="1:2" x14ac:dyDescent="0.25">
      <c r="A5" s="21">
        <v>18</v>
      </c>
      <c r="B5" s="22">
        <v>4.37E-4</v>
      </c>
    </row>
    <row r="6" spans="1:2" x14ac:dyDescent="0.25">
      <c r="A6" s="23">
        <v>19</v>
      </c>
      <c r="B6" s="24">
        <v>4.5249999999999999E-4</v>
      </c>
    </row>
    <row r="7" spans="1:2" x14ac:dyDescent="0.25">
      <c r="A7" s="23">
        <v>20</v>
      </c>
      <c r="B7" s="24">
        <v>4.6200000000000001E-4</v>
      </c>
    </row>
    <row r="8" spans="1:2" x14ac:dyDescent="0.25">
      <c r="A8" s="23">
        <v>21</v>
      </c>
      <c r="B8" s="24">
        <v>4.6700000000000002E-4</v>
      </c>
    </row>
    <row r="9" spans="1:2" x14ac:dyDescent="0.25">
      <c r="A9" s="23">
        <v>22</v>
      </c>
      <c r="B9" s="24">
        <v>4.685E-4</v>
      </c>
    </row>
    <row r="10" spans="1:2" x14ac:dyDescent="0.25">
      <c r="A10" s="23">
        <v>23</v>
      </c>
      <c r="B10" s="24">
        <v>4.6799999999999999E-4</v>
      </c>
    </row>
    <row r="11" spans="1:2" x14ac:dyDescent="0.25">
      <c r="A11" s="23">
        <v>24</v>
      </c>
      <c r="B11" s="24">
        <v>4.6650000000000001E-4</v>
      </c>
    </row>
    <row r="12" spans="1:2" x14ac:dyDescent="0.25">
      <c r="A12" s="23">
        <v>25</v>
      </c>
      <c r="B12" s="24">
        <v>4.6549999999999998E-4</v>
      </c>
    </row>
    <row r="13" spans="1:2" x14ac:dyDescent="0.25">
      <c r="A13" s="23">
        <v>26</v>
      </c>
      <c r="B13" s="24">
        <v>4.6549999999999998E-4</v>
      </c>
    </row>
    <row r="14" spans="1:2" x14ac:dyDescent="0.25">
      <c r="A14" s="23">
        <v>27</v>
      </c>
      <c r="B14" s="24">
        <v>4.6700000000000002E-4</v>
      </c>
    </row>
    <row r="15" spans="1:2" x14ac:dyDescent="0.25">
      <c r="A15" s="23">
        <v>28</v>
      </c>
      <c r="B15" s="24">
        <v>4.7100000000000001E-4</v>
      </c>
    </row>
    <row r="16" spans="1:2" x14ac:dyDescent="0.25">
      <c r="A16" s="23">
        <v>29</v>
      </c>
      <c r="B16" s="24">
        <v>4.7800000000000002E-4</v>
      </c>
    </row>
    <row r="17" spans="1:2" x14ac:dyDescent="0.25">
      <c r="A17" s="23">
        <v>30</v>
      </c>
      <c r="B17" s="24">
        <v>4.885E-4</v>
      </c>
    </row>
    <row r="18" spans="1:2" x14ac:dyDescent="0.25">
      <c r="A18" s="23">
        <v>31</v>
      </c>
      <c r="B18" s="24">
        <v>5.0250000000000002E-4</v>
      </c>
    </row>
    <row r="19" spans="1:2" x14ac:dyDescent="0.25">
      <c r="A19" s="23">
        <v>32</v>
      </c>
      <c r="B19" s="24">
        <v>5.2099999999999998E-4</v>
      </c>
    </row>
    <row r="20" spans="1:2" x14ac:dyDescent="0.25">
      <c r="A20" s="23">
        <v>33</v>
      </c>
      <c r="B20" s="24">
        <v>5.4299999999999997E-4</v>
      </c>
    </row>
    <row r="21" spans="1:2" x14ac:dyDescent="0.25">
      <c r="A21" s="23">
        <v>34</v>
      </c>
      <c r="B21" s="24">
        <v>5.6999999999999998E-4</v>
      </c>
    </row>
    <row r="22" spans="1:2" x14ac:dyDescent="0.25">
      <c r="A22" s="23">
        <v>35</v>
      </c>
      <c r="B22" s="24">
        <v>6.0099999999999997E-4</v>
      </c>
    </row>
    <row r="23" spans="1:2" x14ac:dyDescent="0.25">
      <c r="A23" s="23">
        <v>36</v>
      </c>
      <c r="B23" s="24">
        <v>6.3750000000000005E-4</v>
      </c>
    </row>
    <row r="24" spans="1:2" x14ac:dyDescent="0.25">
      <c r="A24" s="23">
        <v>37</v>
      </c>
      <c r="B24" s="24">
        <v>6.7900000000000002E-4</v>
      </c>
    </row>
    <row r="25" spans="1:2" x14ac:dyDescent="0.25">
      <c r="A25" s="23">
        <v>38</v>
      </c>
      <c r="B25" s="24">
        <v>7.2650000000000004E-4</v>
      </c>
    </row>
    <row r="26" spans="1:2" x14ac:dyDescent="0.25">
      <c r="A26" s="23">
        <v>39</v>
      </c>
      <c r="B26" s="24">
        <v>7.7999999999999999E-4</v>
      </c>
    </row>
    <row r="27" spans="1:2" x14ac:dyDescent="0.25">
      <c r="A27" s="23">
        <v>40</v>
      </c>
      <c r="B27" s="24">
        <v>8.4000000000000003E-4</v>
      </c>
    </row>
    <row r="28" spans="1:2" x14ac:dyDescent="0.25">
      <c r="A28" s="23">
        <v>41</v>
      </c>
      <c r="B28" s="24">
        <v>9.075E-4</v>
      </c>
    </row>
    <row r="29" spans="1:2" x14ac:dyDescent="0.25">
      <c r="A29" s="23">
        <v>42</v>
      </c>
      <c r="B29" s="24">
        <v>9.8449999999999992E-4</v>
      </c>
    </row>
    <row r="30" spans="1:2" x14ac:dyDescent="0.25">
      <c r="A30" s="23">
        <v>43</v>
      </c>
      <c r="B30" s="24">
        <v>1.072E-3</v>
      </c>
    </row>
    <row r="31" spans="1:2" x14ac:dyDescent="0.25">
      <c r="A31" s="23">
        <v>44</v>
      </c>
      <c r="B31" s="24">
        <v>1.1724999999999999E-3</v>
      </c>
    </row>
    <row r="32" spans="1:2" x14ac:dyDescent="0.25">
      <c r="A32" s="23">
        <v>45</v>
      </c>
      <c r="B32" s="24">
        <v>1.2895000000000001E-3</v>
      </c>
    </row>
    <row r="33" spans="1:2" x14ac:dyDescent="0.25">
      <c r="A33" s="23">
        <v>46</v>
      </c>
      <c r="B33" s="24">
        <v>1.4254999999999999E-3</v>
      </c>
    </row>
    <row r="34" spans="1:2" x14ac:dyDescent="0.25">
      <c r="A34" s="23">
        <v>47</v>
      </c>
      <c r="B34" s="24">
        <v>1.5839999999999999E-3</v>
      </c>
    </row>
    <row r="35" spans="1:2" x14ac:dyDescent="0.25">
      <c r="A35" s="23">
        <v>48</v>
      </c>
      <c r="B35" s="24">
        <v>1.768E-3</v>
      </c>
    </row>
    <row r="36" spans="1:2" x14ac:dyDescent="0.25">
      <c r="A36" s="23">
        <v>49</v>
      </c>
      <c r="B36" s="24">
        <v>1.9789999999999999E-3</v>
      </c>
    </row>
    <row r="37" spans="1:2" x14ac:dyDescent="0.25">
      <c r="A37" s="23">
        <v>50</v>
      </c>
      <c r="B37" s="24">
        <v>2.2179999999999999E-3</v>
      </c>
    </row>
    <row r="38" spans="1:2" x14ac:dyDescent="0.25">
      <c r="A38" s="23">
        <v>51</v>
      </c>
      <c r="B38" s="24">
        <v>2.4845000000000002E-3</v>
      </c>
    </row>
    <row r="39" spans="1:2" x14ac:dyDescent="0.25">
      <c r="A39" s="23">
        <v>52</v>
      </c>
      <c r="B39" s="24">
        <v>2.7750000000000001E-3</v>
      </c>
    </row>
    <row r="40" spans="1:2" x14ac:dyDescent="0.25">
      <c r="A40" s="23">
        <v>53</v>
      </c>
      <c r="B40" s="24">
        <v>3.0869999999999999E-3</v>
      </c>
    </row>
    <row r="41" spans="1:2" x14ac:dyDescent="0.25">
      <c r="A41" s="23">
        <v>54</v>
      </c>
      <c r="B41" s="24">
        <v>3.4155000000000001E-3</v>
      </c>
    </row>
    <row r="42" spans="1:2" x14ac:dyDescent="0.25">
      <c r="A42" s="23">
        <v>55</v>
      </c>
      <c r="B42" s="24">
        <v>3.7564999999999999E-3</v>
      </c>
    </row>
    <row r="43" spans="1:2" x14ac:dyDescent="0.25">
      <c r="A43" s="23">
        <v>56</v>
      </c>
      <c r="B43" s="24">
        <v>4.1060000000000003E-3</v>
      </c>
    </row>
    <row r="44" spans="1:2" x14ac:dyDescent="0.25">
      <c r="A44" s="23">
        <v>57</v>
      </c>
      <c r="B44" s="24">
        <v>4.4625000000000003E-3</v>
      </c>
    </row>
    <row r="45" spans="1:2" x14ac:dyDescent="0.25">
      <c r="A45" s="23">
        <v>58</v>
      </c>
      <c r="B45" s="24">
        <v>4.8254999999999999E-3</v>
      </c>
    </row>
    <row r="46" spans="1:2" x14ac:dyDescent="0.25">
      <c r="A46" s="23">
        <v>59</v>
      </c>
      <c r="B46" s="24">
        <v>5.1964999999999997E-3</v>
      </c>
    </row>
    <row r="47" spans="1:2" x14ac:dyDescent="0.25">
      <c r="A47" s="23">
        <v>60</v>
      </c>
      <c r="B47" s="24">
        <v>5.581E-3</v>
      </c>
    </row>
    <row r="48" spans="1:2" x14ac:dyDescent="0.25">
      <c r="A48" s="23">
        <v>61</v>
      </c>
      <c r="B48" s="24">
        <v>5.9845000000000002E-3</v>
      </c>
    </row>
    <row r="49" spans="1:2" x14ac:dyDescent="0.25">
      <c r="A49" s="23">
        <v>62</v>
      </c>
      <c r="B49" s="24">
        <v>6.4155000000000002E-3</v>
      </c>
    </row>
    <row r="50" spans="1:2" x14ac:dyDescent="0.25">
      <c r="A50" s="23">
        <v>63</v>
      </c>
      <c r="B50" s="24">
        <v>6.8824999999999997E-3</v>
      </c>
    </row>
    <row r="51" spans="1:2" x14ac:dyDescent="0.25">
      <c r="A51" s="23">
        <v>64</v>
      </c>
      <c r="B51" s="24">
        <v>7.3959999999999998E-3</v>
      </c>
    </row>
    <row r="52" spans="1:2" x14ac:dyDescent="0.25">
      <c r="A52" s="23">
        <v>65</v>
      </c>
      <c r="B52" s="24">
        <v>7.9660000000000009E-3</v>
      </c>
    </row>
    <row r="53" spans="1:2" x14ac:dyDescent="0.25">
      <c r="A53" s="23">
        <v>66</v>
      </c>
      <c r="B53" s="24">
        <v>8.6029999999999995E-3</v>
      </c>
    </row>
    <row r="54" spans="1:2" x14ac:dyDescent="0.25">
      <c r="A54" s="23">
        <v>67</v>
      </c>
      <c r="B54" s="24">
        <v>9.3174999999999994E-3</v>
      </c>
    </row>
    <row r="55" spans="1:2" x14ac:dyDescent="0.25">
      <c r="A55" s="23">
        <v>68</v>
      </c>
      <c r="B55" s="24">
        <v>1.0120000000000001E-2</v>
      </c>
    </row>
    <row r="56" spans="1:2" x14ac:dyDescent="0.25">
      <c r="A56" s="23">
        <v>69</v>
      </c>
      <c r="B56" s="24">
        <v>1.102E-2</v>
      </c>
    </row>
    <row r="57" spans="1:2" x14ac:dyDescent="0.25">
      <c r="A57" s="23">
        <v>70</v>
      </c>
      <c r="B57" s="24">
        <v>1.2029E-2</v>
      </c>
    </row>
    <row r="58" spans="1:2" x14ac:dyDescent="0.25">
      <c r="A58" s="23">
        <v>71</v>
      </c>
      <c r="B58" s="24">
        <v>1.3157E-2</v>
      </c>
    </row>
    <row r="59" spans="1:2" x14ac:dyDescent="0.25">
      <c r="A59" s="23">
        <v>72</v>
      </c>
      <c r="B59" s="24">
        <v>1.4416E-2</v>
      </c>
    </row>
    <row r="60" spans="1:2" x14ac:dyDescent="0.25">
      <c r="A60" s="23">
        <v>73</v>
      </c>
      <c r="B60" s="24">
        <v>1.5819E-2</v>
      </c>
    </row>
    <row r="61" spans="1:2" x14ac:dyDescent="0.25">
      <c r="A61" s="23">
        <v>74</v>
      </c>
      <c r="B61" s="24">
        <v>1.7378500000000002E-2</v>
      </c>
    </row>
    <row r="62" spans="1:2" x14ac:dyDescent="0.25">
      <c r="A62" s="23">
        <v>75</v>
      </c>
      <c r="B62" s="24">
        <v>1.9110499999999999E-2</v>
      </c>
    </row>
    <row r="63" spans="1:2" x14ac:dyDescent="0.25">
      <c r="A63" s="23">
        <v>76</v>
      </c>
      <c r="B63" s="24">
        <v>2.1030500000000001E-2</v>
      </c>
    </row>
    <row r="64" spans="1:2" x14ac:dyDescent="0.25">
      <c r="A64" s="23">
        <v>77</v>
      </c>
      <c r="B64" s="24">
        <v>2.3158000000000002E-2</v>
      </c>
    </row>
    <row r="65" spans="1:2" x14ac:dyDescent="0.25">
      <c r="A65" s="23">
        <v>78</v>
      </c>
      <c r="B65" s="24">
        <v>2.5512E-2</v>
      </c>
    </row>
    <row r="66" spans="1:2" x14ac:dyDescent="0.25">
      <c r="A66" s="23">
        <v>79</v>
      </c>
      <c r="B66" s="24">
        <v>2.8115500000000002E-2</v>
      </c>
    </row>
    <row r="67" spans="1:2" ht="13" thickBot="1" x14ac:dyDescent="0.3">
      <c r="A67" s="25">
        <v>80</v>
      </c>
      <c r="B67" s="26">
        <v>3.0992499999999999E-2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G34"/>
  <sheetViews>
    <sheetView zoomScale="70" zoomScaleNormal="70" workbookViewId="0"/>
  </sheetViews>
  <sheetFormatPr defaultColWidth="8.1640625" defaultRowHeight="15.5" x14ac:dyDescent="0.35"/>
  <cols>
    <col min="1" max="1" width="23.33203125" style="27" customWidth="1"/>
    <col min="2" max="2" width="11.75" style="27" bestFit="1" customWidth="1"/>
    <col min="3" max="3" width="8.1640625" style="27"/>
    <col min="4" max="5" width="8.4140625" style="27" bestFit="1" customWidth="1"/>
    <col min="6" max="6" width="8.1640625" style="27"/>
    <col min="7" max="10" width="14.83203125" style="27" customWidth="1"/>
    <col min="11" max="11" width="8.1640625" style="27"/>
    <col min="12" max="12" width="9" style="27" bestFit="1" customWidth="1"/>
    <col min="13" max="13" width="8.1640625" style="27"/>
    <col min="14" max="14" width="11.4140625" style="27" bestFit="1" customWidth="1"/>
    <col min="15" max="15" width="19.1640625" style="27" customWidth="1"/>
    <col min="16" max="16" width="8.1640625" style="27"/>
    <col min="17" max="23" width="14.9140625" style="27" customWidth="1"/>
    <col min="24" max="24" width="8.1640625" style="27"/>
    <col min="25" max="25" width="17.08203125" style="27" customWidth="1"/>
    <col min="26" max="26" width="12.5" style="27" bestFit="1" customWidth="1"/>
    <col min="27" max="27" width="8.1640625" style="27"/>
    <col min="28" max="29" width="14.5" style="27" customWidth="1"/>
    <col min="30" max="30" width="8.1640625" style="27"/>
    <col min="31" max="31" width="18.9140625" style="27" bestFit="1" customWidth="1"/>
    <col min="32" max="32" width="9.1640625" style="27" bestFit="1" customWidth="1"/>
    <col min="33" max="33" width="8.1640625" style="28"/>
    <col min="34" max="16384" width="8.1640625" style="27"/>
  </cols>
  <sheetData>
    <row r="2" spans="1:33" s="28" customFormat="1" x14ac:dyDescent="0.35">
      <c r="A2" s="27"/>
      <c r="B2" s="27"/>
      <c r="C2" s="27"/>
      <c r="D2" s="27"/>
      <c r="E2" s="27"/>
      <c r="F2" s="27"/>
      <c r="K2" s="27"/>
      <c r="M2" s="29"/>
      <c r="N2" s="29"/>
      <c r="O2" s="29"/>
      <c r="P2" s="27"/>
      <c r="Q2" s="29"/>
      <c r="R2" s="29"/>
      <c r="S2" s="29"/>
      <c r="T2" s="29"/>
      <c r="U2" s="29"/>
      <c r="X2" s="27"/>
      <c r="Y2" s="29"/>
      <c r="AA2" s="27"/>
    </row>
    <row r="3" spans="1:33" s="28" customFormat="1" ht="14.5" x14ac:dyDescent="0.35">
      <c r="G3" s="30" t="s">
        <v>30</v>
      </c>
      <c r="L3" s="30" t="s">
        <v>31</v>
      </c>
      <c r="Q3" s="30" t="s">
        <v>32</v>
      </c>
      <c r="Y3" s="30" t="s">
        <v>33</v>
      </c>
    </row>
    <row r="4" spans="1:33" s="31" customFormat="1" ht="46.5" x14ac:dyDescent="0.35">
      <c r="A4" s="30" t="s">
        <v>34</v>
      </c>
      <c r="D4" s="31" t="s">
        <v>35</v>
      </c>
      <c r="E4" s="31" t="s">
        <v>28</v>
      </c>
      <c r="G4" s="31" t="s">
        <v>36</v>
      </c>
      <c r="H4" s="31" t="s">
        <v>37</v>
      </c>
      <c r="I4" s="31" t="s">
        <v>38</v>
      </c>
      <c r="J4" s="31" t="s">
        <v>39</v>
      </c>
      <c r="L4" s="31" t="s">
        <v>40</v>
      </c>
      <c r="M4" s="31" t="s">
        <v>41</v>
      </c>
      <c r="N4" s="31" t="s">
        <v>42</v>
      </c>
      <c r="O4" s="31" t="s">
        <v>43</v>
      </c>
      <c r="Q4" s="31" t="s">
        <v>44</v>
      </c>
      <c r="R4" s="31" t="s">
        <v>45</v>
      </c>
      <c r="S4" s="31" t="s">
        <v>46</v>
      </c>
      <c r="T4" s="31" t="s">
        <v>47</v>
      </c>
      <c r="U4" s="31" t="s">
        <v>48</v>
      </c>
      <c r="V4" s="31" t="s">
        <v>49</v>
      </c>
      <c r="W4" s="31" t="s">
        <v>50</v>
      </c>
      <c r="Y4" s="31" t="s">
        <v>51</v>
      </c>
      <c r="Z4" s="31" t="s">
        <v>52</v>
      </c>
      <c r="AB4" s="31" t="s">
        <v>53</v>
      </c>
      <c r="AC4" s="31" t="s">
        <v>54</v>
      </c>
      <c r="AG4" s="32"/>
    </row>
    <row r="5" spans="1:33" x14ac:dyDescent="0.35">
      <c r="A5" s="33" t="s">
        <v>55</v>
      </c>
      <c r="B5" s="27">
        <v>30</v>
      </c>
      <c r="D5" s="27">
        <v>1</v>
      </c>
      <c r="E5" s="27">
        <f>B9</f>
        <v>30</v>
      </c>
      <c r="G5" s="34">
        <f>VLOOKUP(E5,'Q.2 Data'!$A$4:$B$67,2,0)</f>
        <v>4.885E-4</v>
      </c>
      <c r="H5" s="34">
        <v>1</v>
      </c>
      <c r="I5" s="34">
        <f>G5*H5</f>
        <v>4.885E-4</v>
      </c>
      <c r="J5" s="34">
        <f>H5-I5</f>
        <v>0.9995115</v>
      </c>
      <c r="L5" s="27">
        <f>$B$8</f>
        <v>35000</v>
      </c>
      <c r="M5" s="27">
        <f>$B$10</f>
        <v>2000</v>
      </c>
      <c r="N5" s="27">
        <f>B13*L5</f>
        <v>10500</v>
      </c>
      <c r="O5" s="27">
        <f>MIN($B$6*(1+$B$7*(D5-1)),200%*$B$6)</f>
        <v>10000000</v>
      </c>
      <c r="Q5" s="27">
        <f t="shared" ref="Q5:Q34" si="0">L5*H5</f>
        <v>35000</v>
      </c>
      <c r="R5" s="27">
        <f t="shared" ref="R5:R34" si="1">M5*H5</f>
        <v>2000</v>
      </c>
      <c r="S5" s="27">
        <f t="shared" ref="S5:T34" si="2">N5*H5</f>
        <v>10500</v>
      </c>
      <c r="T5" s="27">
        <f t="shared" si="2"/>
        <v>4885</v>
      </c>
      <c r="U5" s="27">
        <v>0</v>
      </c>
      <c r="V5" s="27">
        <f t="shared" ref="V5:V34" si="3">(Q5-R5-S5)*$B$15</f>
        <v>1575.0000000000002</v>
      </c>
      <c r="W5" s="27">
        <f>Q5-R5-S5-T5-U5+V5</f>
        <v>19190</v>
      </c>
      <c r="Y5" s="27">
        <v>0</v>
      </c>
      <c r="Z5" s="27">
        <f t="shared" ref="Z5:Z34" si="4">Y5*$B$15</f>
        <v>0</v>
      </c>
      <c r="AB5" s="27">
        <f t="shared" ref="AB5:AB34" si="5">SUM(Q5,V5)-SUM(R5:U5)-(Y6-Y5)+Z5</f>
        <v>-16335.000000000007</v>
      </c>
      <c r="AC5" s="35">
        <f t="shared" ref="AC5:AC34" si="6">(1+$B$16)^(-D5)</f>
        <v>0.86956521739130443</v>
      </c>
      <c r="AE5" s="27" t="s">
        <v>56</v>
      </c>
      <c r="AF5" s="27">
        <f>SUMPRODUCT(AB5:AB34,AC5:AC34)</f>
        <v>54723.859523658757</v>
      </c>
    </row>
    <row r="6" spans="1:33" x14ac:dyDescent="0.35">
      <c r="A6" s="33" t="s">
        <v>57</v>
      </c>
      <c r="B6" s="27">
        <v>10000000</v>
      </c>
      <c r="D6" s="27">
        <f>D5+1</f>
        <v>2</v>
      </c>
      <c r="E6" s="27">
        <f>E5+1</f>
        <v>31</v>
      </c>
      <c r="G6" s="34">
        <f>VLOOKUP(E6,'Q.2 Data'!$A$4:$B$67,2,0)</f>
        <v>5.0250000000000002E-4</v>
      </c>
      <c r="H6" s="34">
        <f>J5</f>
        <v>0.9995115</v>
      </c>
      <c r="I6" s="34">
        <f t="shared" ref="I6:I34" si="7">G6*H6</f>
        <v>5.0225452874999999E-4</v>
      </c>
      <c r="J6" s="34">
        <f t="shared" ref="J6:J34" si="8">H6-I6</f>
        <v>0.99900924547125003</v>
      </c>
      <c r="L6" s="27">
        <f t="shared" ref="L6:L34" si="9">$B$8</f>
        <v>35000</v>
      </c>
      <c r="M6" s="27">
        <f>$B$11*(1+$B$12)^(D6-2)</f>
        <v>1000</v>
      </c>
      <c r="N6" s="27">
        <f t="shared" ref="N6:N34" si="10">$B$14*L6</f>
        <v>3500</v>
      </c>
      <c r="O6" s="27">
        <f t="shared" ref="O6:O34" si="11">MIN($B$6*(1+$B$7*(D6-1)),200%*$B$6)</f>
        <v>10500000</v>
      </c>
      <c r="Q6" s="27">
        <f t="shared" si="0"/>
        <v>34982.902499999997</v>
      </c>
      <c r="R6" s="27">
        <f t="shared" si="1"/>
        <v>999.51149999999996</v>
      </c>
      <c r="S6" s="27">
        <f t="shared" si="2"/>
        <v>3498.29025</v>
      </c>
      <c r="T6" s="27">
        <f t="shared" si="2"/>
        <v>5273.672551875</v>
      </c>
      <c r="U6" s="27">
        <v>0</v>
      </c>
      <c r="V6" s="27">
        <f t="shared" si="3"/>
        <v>2133.9570524999999</v>
      </c>
      <c r="W6" s="27">
        <f t="shared" ref="W6:W34" si="12">Q6-R6-S6-T6-U6+V6</f>
        <v>27345.385250624997</v>
      </c>
      <c r="Y6" s="27">
        <f>SUM($L$5:L5)*($B$5-D6+1)/$B$5*105%</f>
        <v>35525.000000000007</v>
      </c>
      <c r="Z6" s="27">
        <f t="shared" si="4"/>
        <v>2486.7500000000009</v>
      </c>
      <c r="AB6" s="27">
        <f t="shared" si="5"/>
        <v>-3242.864749374995</v>
      </c>
      <c r="AC6" s="35">
        <f t="shared" si="6"/>
        <v>0.7561436672967865</v>
      </c>
      <c r="AE6" s="27" t="s">
        <v>58</v>
      </c>
      <c r="AF6" s="27">
        <f>SUMPRODUCT(Q5:Q34,AC5:AC34)*(1+B16)</f>
        <v>263087.96620716894</v>
      </c>
    </row>
    <row r="7" spans="1:33" x14ac:dyDescent="0.35">
      <c r="A7" s="33" t="s">
        <v>59</v>
      </c>
      <c r="B7" s="36">
        <v>0.05</v>
      </c>
      <c r="D7" s="27">
        <f t="shared" ref="D7:E22" si="13">D6+1</f>
        <v>3</v>
      </c>
      <c r="E7" s="27">
        <f t="shared" si="13"/>
        <v>32</v>
      </c>
      <c r="G7" s="34">
        <f>VLOOKUP(E7,'Q.2 Data'!$A$4:$B$67,2,0)</f>
        <v>5.2099999999999998E-4</v>
      </c>
      <c r="H7" s="34">
        <f t="shared" ref="H7:H34" si="14">J6</f>
        <v>0.99900924547125003</v>
      </c>
      <c r="I7" s="34">
        <f t="shared" si="7"/>
        <v>5.2048381689052123E-4</v>
      </c>
      <c r="J7" s="34">
        <f t="shared" si="8"/>
        <v>0.99848876165435951</v>
      </c>
      <c r="L7" s="27">
        <f t="shared" si="9"/>
        <v>35000</v>
      </c>
      <c r="M7" s="27">
        <f t="shared" ref="M7:M34" si="15">$B$11*(1+$B$12)^(D7-2)</f>
        <v>1045</v>
      </c>
      <c r="N7" s="27">
        <f t="shared" si="10"/>
        <v>3500</v>
      </c>
      <c r="O7" s="27">
        <f t="shared" si="11"/>
        <v>11000000</v>
      </c>
      <c r="Q7" s="27">
        <f t="shared" si="0"/>
        <v>34965.323591493754</v>
      </c>
      <c r="R7" s="27">
        <f t="shared" si="1"/>
        <v>1043.9646615174563</v>
      </c>
      <c r="S7" s="27">
        <f t="shared" si="2"/>
        <v>3496.5323591493752</v>
      </c>
      <c r="T7" s="27">
        <f t="shared" si="2"/>
        <v>5725.3219857957338</v>
      </c>
      <c r="U7" s="27">
        <v>0</v>
      </c>
      <c r="V7" s="27">
        <f t="shared" si="3"/>
        <v>2129.7378599578847</v>
      </c>
      <c r="W7" s="27">
        <f t="shared" si="12"/>
        <v>26829.242444989071</v>
      </c>
      <c r="Y7" s="27">
        <f>SUM($L$5:L6)*($B$5-D7+1)/$B$5*105%</f>
        <v>68600</v>
      </c>
      <c r="Z7" s="27">
        <f t="shared" si="4"/>
        <v>4802.0000000000009</v>
      </c>
      <c r="AB7" s="27">
        <f t="shared" si="5"/>
        <v>1006.2424449890759</v>
      </c>
      <c r="AC7" s="35">
        <f t="shared" si="6"/>
        <v>0.65751623243198831</v>
      </c>
    </row>
    <row r="8" spans="1:33" x14ac:dyDescent="0.35">
      <c r="A8" s="33" t="s">
        <v>60</v>
      </c>
      <c r="B8" s="27">
        <v>35000</v>
      </c>
      <c r="D8" s="27">
        <f t="shared" si="13"/>
        <v>4</v>
      </c>
      <c r="E8" s="27">
        <f t="shared" si="13"/>
        <v>33</v>
      </c>
      <c r="G8" s="34">
        <f>VLOOKUP(E8,'Q.2 Data'!$A$4:$B$67,2,0)</f>
        <v>5.4299999999999997E-4</v>
      </c>
      <c r="H8" s="34">
        <f t="shared" si="14"/>
        <v>0.99848876165435951</v>
      </c>
      <c r="I8" s="34">
        <f t="shared" si="7"/>
        <v>5.4217939757831722E-4</v>
      </c>
      <c r="J8" s="34">
        <f t="shared" si="8"/>
        <v>0.99794658225678123</v>
      </c>
      <c r="L8" s="27">
        <f t="shared" si="9"/>
        <v>35000</v>
      </c>
      <c r="M8" s="27">
        <f t="shared" si="15"/>
        <v>1092.0249999999999</v>
      </c>
      <c r="N8" s="27">
        <f t="shared" si="10"/>
        <v>3500</v>
      </c>
      <c r="O8" s="27">
        <f t="shared" si="11"/>
        <v>11500000</v>
      </c>
      <c r="Q8" s="27">
        <f t="shared" si="0"/>
        <v>34947.106657902586</v>
      </c>
      <c r="R8" s="27">
        <f t="shared" si="1"/>
        <v>1090.3746899456019</v>
      </c>
      <c r="S8" s="27">
        <f t="shared" si="2"/>
        <v>3494.7106657902582</v>
      </c>
      <c r="T8" s="27">
        <f t="shared" si="2"/>
        <v>6235.0630721506477</v>
      </c>
      <c r="U8" s="27">
        <v>0</v>
      </c>
      <c r="V8" s="27">
        <f t="shared" si="3"/>
        <v>2125.3414911516711</v>
      </c>
      <c r="W8" s="27">
        <f t="shared" si="12"/>
        <v>26252.299721167747</v>
      </c>
      <c r="Y8" s="27">
        <f>SUM($L$5:L7)*($B$5-D8+1)/$B$5*105%</f>
        <v>99225</v>
      </c>
      <c r="Z8" s="27">
        <f t="shared" si="4"/>
        <v>6945.7500000000009</v>
      </c>
      <c r="AB8" s="27">
        <f t="shared" si="5"/>
        <v>5023.0497211677512</v>
      </c>
      <c r="AC8" s="35">
        <f t="shared" si="6"/>
        <v>0.57175324559303342</v>
      </c>
      <c r="AE8" s="27" t="s">
        <v>61</v>
      </c>
      <c r="AF8" s="37">
        <f>AF5/AF6</f>
        <v>0.20800593927799185</v>
      </c>
    </row>
    <row r="9" spans="1:33" x14ac:dyDescent="0.35">
      <c r="A9" s="33" t="s">
        <v>28</v>
      </c>
      <c r="B9" s="27">
        <v>30</v>
      </c>
      <c r="D9" s="27">
        <f t="shared" si="13"/>
        <v>5</v>
      </c>
      <c r="E9" s="27">
        <f t="shared" si="13"/>
        <v>34</v>
      </c>
      <c r="G9" s="34">
        <f>VLOOKUP(E9,'Q.2 Data'!$A$4:$B$67,2,0)</f>
        <v>5.6999999999999998E-4</v>
      </c>
      <c r="H9" s="34">
        <f t="shared" si="14"/>
        <v>0.99794658225678123</v>
      </c>
      <c r="I9" s="34">
        <f t="shared" si="7"/>
        <v>5.6882955188636525E-4</v>
      </c>
      <c r="J9" s="34">
        <f t="shared" si="8"/>
        <v>0.99737775270489482</v>
      </c>
      <c r="L9" s="27">
        <f t="shared" si="9"/>
        <v>35000</v>
      </c>
      <c r="M9" s="27">
        <f t="shared" si="15"/>
        <v>1141.1661249999997</v>
      </c>
      <c r="N9" s="27">
        <f t="shared" si="10"/>
        <v>3500</v>
      </c>
      <c r="O9" s="27">
        <f t="shared" si="11"/>
        <v>12000000</v>
      </c>
      <c r="Q9" s="27">
        <f t="shared" si="0"/>
        <v>34928.130378987342</v>
      </c>
      <c r="R9" s="27">
        <f t="shared" si="1"/>
        <v>1138.8228342309646</v>
      </c>
      <c r="S9" s="27">
        <f t="shared" si="2"/>
        <v>3492.8130378987344</v>
      </c>
      <c r="T9" s="27">
        <f t="shared" si="2"/>
        <v>6825.9546226363827</v>
      </c>
      <c r="U9" s="27">
        <v>0</v>
      </c>
      <c r="V9" s="27">
        <f t="shared" si="3"/>
        <v>2120.7546154800352</v>
      </c>
      <c r="W9" s="27">
        <f t="shared" si="12"/>
        <v>25591.294499701296</v>
      </c>
      <c r="Y9" s="27">
        <f>SUM($L$5:L8)*($B$5-D9+1)/$B$5*105%</f>
        <v>127400</v>
      </c>
      <c r="Z9" s="27">
        <f t="shared" si="4"/>
        <v>8918</v>
      </c>
      <c r="AB9" s="27">
        <f t="shared" si="5"/>
        <v>8784.2944997012673</v>
      </c>
      <c r="AC9" s="35">
        <f t="shared" si="6"/>
        <v>0.49717673529828987</v>
      </c>
    </row>
    <row r="10" spans="1:33" x14ac:dyDescent="0.35">
      <c r="A10" s="33" t="s">
        <v>62</v>
      </c>
      <c r="B10" s="27">
        <v>2000</v>
      </c>
      <c r="D10" s="27">
        <f t="shared" si="13"/>
        <v>6</v>
      </c>
      <c r="E10" s="27">
        <f t="shared" si="13"/>
        <v>35</v>
      </c>
      <c r="G10" s="34">
        <f>VLOOKUP(E10,'Q.2 Data'!$A$4:$B$67,2,0)</f>
        <v>6.0099999999999997E-4</v>
      </c>
      <c r="H10" s="34">
        <f t="shared" si="14"/>
        <v>0.99737775270489482</v>
      </c>
      <c r="I10" s="34">
        <f t="shared" si="7"/>
        <v>5.9942402937564177E-4</v>
      </c>
      <c r="J10" s="34">
        <f t="shared" si="8"/>
        <v>0.99677832867551919</v>
      </c>
      <c r="L10" s="27">
        <f t="shared" si="9"/>
        <v>35000</v>
      </c>
      <c r="M10" s="27">
        <f t="shared" si="15"/>
        <v>1192.5186006249994</v>
      </c>
      <c r="N10" s="27">
        <f t="shared" si="10"/>
        <v>3500</v>
      </c>
      <c r="O10" s="27">
        <f t="shared" si="11"/>
        <v>12500000</v>
      </c>
      <c r="Q10" s="27">
        <f t="shared" si="0"/>
        <v>34908.221344671321</v>
      </c>
      <c r="R10" s="27">
        <f t="shared" si="1"/>
        <v>1189.391521950148</v>
      </c>
      <c r="S10" s="27">
        <f t="shared" si="2"/>
        <v>3490.8221344671319</v>
      </c>
      <c r="T10" s="27">
        <f t="shared" si="2"/>
        <v>7492.8003671955221</v>
      </c>
      <c r="U10" s="27">
        <v>0</v>
      </c>
      <c r="V10" s="27">
        <f t="shared" si="3"/>
        <v>2115.9605381777828</v>
      </c>
      <c r="W10" s="27">
        <f t="shared" si="12"/>
        <v>24851.167859236299</v>
      </c>
      <c r="Y10" s="27">
        <f>SUM($L$5:L9)*($B$5-D10+1)/$B$5*105%</f>
        <v>153125.00000000003</v>
      </c>
      <c r="Z10" s="27">
        <f t="shared" si="4"/>
        <v>10718.750000000004</v>
      </c>
      <c r="AB10" s="27">
        <f t="shared" si="5"/>
        <v>12294.917859236331</v>
      </c>
      <c r="AC10" s="35">
        <f t="shared" si="6"/>
        <v>0.43232759591155645</v>
      </c>
    </row>
    <row r="11" spans="1:33" x14ac:dyDescent="0.35">
      <c r="A11" s="33" t="s">
        <v>63</v>
      </c>
      <c r="B11" s="27">
        <v>1000</v>
      </c>
      <c r="D11" s="27">
        <f t="shared" si="13"/>
        <v>7</v>
      </c>
      <c r="E11" s="27">
        <f t="shared" si="13"/>
        <v>36</v>
      </c>
      <c r="G11" s="34">
        <f>VLOOKUP(E11,'Q.2 Data'!$A$4:$B$67,2,0)</f>
        <v>6.3750000000000005E-4</v>
      </c>
      <c r="H11" s="34">
        <f t="shared" si="14"/>
        <v>0.99677832867551919</v>
      </c>
      <c r="I11" s="34">
        <f t="shared" si="7"/>
        <v>6.3544618453064349E-4</v>
      </c>
      <c r="J11" s="34">
        <f t="shared" si="8"/>
        <v>0.99614288249098859</v>
      </c>
      <c r="L11" s="27">
        <f t="shared" si="9"/>
        <v>35000</v>
      </c>
      <c r="M11" s="27">
        <f t="shared" si="15"/>
        <v>1246.1819376531244</v>
      </c>
      <c r="N11" s="27">
        <f t="shared" si="10"/>
        <v>3500</v>
      </c>
      <c r="O11" s="27">
        <f t="shared" si="11"/>
        <v>13000000</v>
      </c>
      <c r="Q11" s="27">
        <f t="shared" si="0"/>
        <v>34887.24150364317</v>
      </c>
      <c r="R11" s="27">
        <f t="shared" si="1"/>
        <v>1242.1671490395013</v>
      </c>
      <c r="S11" s="27">
        <f t="shared" si="2"/>
        <v>3488.7241503643172</v>
      </c>
      <c r="T11" s="27">
        <f t="shared" si="2"/>
        <v>8260.8003988983655</v>
      </c>
      <c r="U11" s="27">
        <v>0</v>
      </c>
      <c r="V11" s="27">
        <f t="shared" si="3"/>
        <v>2110.9445142967547</v>
      </c>
      <c r="W11" s="27">
        <f t="shared" si="12"/>
        <v>24006.494319637743</v>
      </c>
      <c r="Y11" s="27">
        <f>SUM($L$5:L10)*($B$5-D11+1)/$B$5*105%</f>
        <v>176400</v>
      </c>
      <c r="Z11" s="27">
        <f t="shared" si="4"/>
        <v>12348.000000000002</v>
      </c>
      <c r="AB11" s="27">
        <f t="shared" si="5"/>
        <v>15529.494319637712</v>
      </c>
      <c r="AC11" s="35">
        <f t="shared" si="6"/>
        <v>0.37593703992309269</v>
      </c>
    </row>
    <row r="12" spans="1:33" x14ac:dyDescent="0.35">
      <c r="A12" s="33" t="s">
        <v>64</v>
      </c>
      <c r="B12" s="36">
        <f>4.5%</f>
        <v>4.4999999999999998E-2</v>
      </c>
      <c r="D12" s="27">
        <f t="shared" si="13"/>
        <v>8</v>
      </c>
      <c r="E12" s="27">
        <f t="shared" si="13"/>
        <v>37</v>
      </c>
      <c r="G12" s="34">
        <f>VLOOKUP(E12,'Q.2 Data'!$A$4:$B$67,2,0)</f>
        <v>6.7900000000000002E-4</v>
      </c>
      <c r="H12" s="34">
        <f t="shared" si="14"/>
        <v>0.99614288249098859</v>
      </c>
      <c r="I12" s="34">
        <f t="shared" si="7"/>
        <v>6.7638101721138129E-4</v>
      </c>
      <c r="J12" s="34">
        <f t="shared" si="8"/>
        <v>0.99546650147377724</v>
      </c>
      <c r="L12" s="27">
        <f t="shared" si="9"/>
        <v>35000</v>
      </c>
      <c r="M12" s="27">
        <f t="shared" si="15"/>
        <v>1302.2601248475148</v>
      </c>
      <c r="N12" s="27">
        <f t="shared" si="10"/>
        <v>3500</v>
      </c>
      <c r="O12" s="27">
        <f t="shared" si="11"/>
        <v>13500000</v>
      </c>
      <c r="Q12" s="27">
        <f t="shared" si="0"/>
        <v>34865.0008871846</v>
      </c>
      <c r="R12" s="27">
        <f t="shared" si="1"/>
        <v>1297.2371545186782</v>
      </c>
      <c r="S12" s="27">
        <f t="shared" si="2"/>
        <v>3486.5000887184601</v>
      </c>
      <c r="T12" s="27">
        <f t="shared" si="2"/>
        <v>9131.1437323536466</v>
      </c>
      <c r="U12" s="27">
        <v>0</v>
      </c>
      <c r="V12" s="27">
        <f t="shared" si="3"/>
        <v>2105.6884550763225</v>
      </c>
      <c r="W12" s="27">
        <f t="shared" si="12"/>
        <v>23055.808366670135</v>
      </c>
      <c r="Y12" s="27">
        <f>SUM($L$5:L11)*($B$5-D12+1)/$B$5*105%</f>
        <v>197225.00000000003</v>
      </c>
      <c r="Z12" s="27">
        <f t="shared" si="4"/>
        <v>13805.750000000004</v>
      </c>
      <c r="AB12" s="27">
        <f t="shared" si="5"/>
        <v>18486.558366670139</v>
      </c>
      <c r="AC12" s="35">
        <f t="shared" si="6"/>
        <v>0.32690177384616753</v>
      </c>
    </row>
    <row r="13" spans="1:33" x14ac:dyDescent="0.35">
      <c r="A13" s="33" t="s">
        <v>65</v>
      </c>
      <c r="B13" s="36">
        <v>0.3</v>
      </c>
      <c r="D13" s="27">
        <f t="shared" si="13"/>
        <v>9</v>
      </c>
      <c r="E13" s="27">
        <f t="shared" si="13"/>
        <v>38</v>
      </c>
      <c r="G13" s="34">
        <f>VLOOKUP(E13,'Q.2 Data'!$A$4:$B$67,2,0)</f>
        <v>7.2650000000000004E-4</v>
      </c>
      <c r="H13" s="34">
        <f t="shared" si="14"/>
        <v>0.99546650147377724</v>
      </c>
      <c r="I13" s="34">
        <f t="shared" si="7"/>
        <v>7.2320641332069917E-4</v>
      </c>
      <c r="J13" s="34">
        <f t="shared" si="8"/>
        <v>0.99474329506045656</v>
      </c>
      <c r="L13" s="27">
        <f t="shared" si="9"/>
        <v>35000</v>
      </c>
      <c r="M13" s="27">
        <f t="shared" si="15"/>
        <v>1360.8618304656529</v>
      </c>
      <c r="N13" s="27">
        <f t="shared" si="10"/>
        <v>3500</v>
      </c>
      <c r="O13" s="27">
        <f t="shared" si="11"/>
        <v>14000000</v>
      </c>
      <c r="Q13" s="27">
        <f t="shared" si="0"/>
        <v>34841.327551582202</v>
      </c>
      <c r="R13" s="27">
        <f t="shared" si="1"/>
        <v>1354.6923653628442</v>
      </c>
      <c r="S13" s="27">
        <f t="shared" si="2"/>
        <v>3484.1327551582203</v>
      </c>
      <c r="T13" s="27">
        <f t="shared" si="2"/>
        <v>10124.889786489788</v>
      </c>
      <c r="U13" s="27">
        <v>0</v>
      </c>
      <c r="V13" s="27">
        <f t="shared" si="3"/>
        <v>2100.1751701742796</v>
      </c>
      <c r="W13" s="27">
        <f t="shared" si="12"/>
        <v>21977.787814745625</v>
      </c>
      <c r="Y13" s="27">
        <f>SUM($L$5:L12)*($B$5-D13+1)/$B$5*105%</f>
        <v>215600.00000000003</v>
      </c>
      <c r="Z13" s="27">
        <f t="shared" si="4"/>
        <v>15092.000000000004</v>
      </c>
      <c r="AB13" s="27">
        <f t="shared" si="5"/>
        <v>21144.787814745658</v>
      </c>
      <c r="AC13" s="35">
        <f t="shared" si="6"/>
        <v>0.28426241204014574</v>
      </c>
    </row>
    <row r="14" spans="1:33" x14ac:dyDescent="0.35">
      <c r="A14" s="33" t="s">
        <v>66</v>
      </c>
      <c r="B14" s="36">
        <v>0.1</v>
      </c>
      <c r="D14" s="27">
        <f t="shared" si="13"/>
        <v>10</v>
      </c>
      <c r="E14" s="27">
        <f t="shared" si="13"/>
        <v>39</v>
      </c>
      <c r="G14" s="34">
        <f>VLOOKUP(E14,'Q.2 Data'!$A$4:$B$67,2,0)</f>
        <v>7.7999999999999999E-4</v>
      </c>
      <c r="H14" s="34">
        <f t="shared" si="14"/>
        <v>0.99474329506045656</v>
      </c>
      <c r="I14" s="34">
        <f t="shared" si="7"/>
        <v>7.7589977014715615E-4</v>
      </c>
      <c r="J14" s="34">
        <f t="shared" si="8"/>
        <v>0.99396739529030942</v>
      </c>
      <c r="L14" s="27">
        <f t="shared" si="9"/>
        <v>35000</v>
      </c>
      <c r="M14" s="27">
        <f t="shared" si="15"/>
        <v>1422.1006128366068</v>
      </c>
      <c r="N14" s="27">
        <f t="shared" si="10"/>
        <v>3500</v>
      </c>
      <c r="O14" s="27">
        <f t="shared" si="11"/>
        <v>14500000</v>
      </c>
      <c r="Q14" s="27">
        <f t="shared" si="0"/>
        <v>34816.01532711598</v>
      </c>
      <c r="R14" s="27">
        <f t="shared" si="1"/>
        <v>1414.6250495205809</v>
      </c>
      <c r="S14" s="27">
        <f t="shared" si="2"/>
        <v>3481.6015327115979</v>
      </c>
      <c r="T14" s="27">
        <f t="shared" si="2"/>
        <v>11250.546667133764</v>
      </c>
      <c r="U14" s="27">
        <v>0</v>
      </c>
      <c r="V14" s="27">
        <f t="shared" si="3"/>
        <v>2094.3852121418663</v>
      </c>
      <c r="W14" s="27">
        <f t="shared" si="12"/>
        <v>20763.627289891905</v>
      </c>
      <c r="Y14" s="27">
        <f>SUM($L$5:L13)*($B$5-D14+1)/$B$5*105%</f>
        <v>231525</v>
      </c>
      <c r="Z14" s="27">
        <f t="shared" si="4"/>
        <v>16206.750000000002</v>
      </c>
      <c r="AB14" s="27">
        <f t="shared" si="5"/>
        <v>23495.377289891876</v>
      </c>
      <c r="AC14" s="35">
        <f t="shared" si="6"/>
        <v>0.24718470612186585</v>
      </c>
    </row>
    <row r="15" spans="1:33" x14ac:dyDescent="0.35">
      <c r="A15" s="33" t="s">
        <v>67</v>
      </c>
      <c r="B15" s="36">
        <v>7.0000000000000007E-2</v>
      </c>
      <c r="D15" s="27">
        <f t="shared" si="13"/>
        <v>11</v>
      </c>
      <c r="E15" s="27">
        <f t="shared" si="13"/>
        <v>40</v>
      </c>
      <c r="G15" s="34">
        <f>VLOOKUP(E15,'Q.2 Data'!$A$4:$B$67,2,0)</f>
        <v>8.4000000000000003E-4</v>
      </c>
      <c r="H15" s="34">
        <f t="shared" si="14"/>
        <v>0.99396739529030942</v>
      </c>
      <c r="I15" s="34">
        <f t="shared" si="7"/>
        <v>8.3493261204385996E-4</v>
      </c>
      <c r="J15" s="34">
        <f t="shared" si="8"/>
        <v>0.9931324626782656</v>
      </c>
      <c r="L15" s="27">
        <f t="shared" si="9"/>
        <v>35000</v>
      </c>
      <c r="M15" s="27">
        <f t="shared" si="15"/>
        <v>1486.0951404142543</v>
      </c>
      <c r="N15" s="27">
        <f t="shared" si="10"/>
        <v>3500</v>
      </c>
      <c r="O15" s="27">
        <f t="shared" si="11"/>
        <v>15000000</v>
      </c>
      <c r="Q15" s="27">
        <f t="shared" si="0"/>
        <v>34788.858835160827</v>
      </c>
      <c r="R15" s="27">
        <f t="shared" si="1"/>
        <v>1477.1301158711431</v>
      </c>
      <c r="S15" s="27">
        <f t="shared" si="2"/>
        <v>3478.8858835160831</v>
      </c>
      <c r="T15" s="27">
        <f t="shared" si="2"/>
        <v>12523.9891806579</v>
      </c>
      <c r="U15" s="27">
        <v>0</v>
      </c>
      <c r="V15" s="27">
        <f t="shared" si="3"/>
        <v>2088.2989985041522</v>
      </c>
      <c r="W15" s="27">
        <f t="shared" si="12"/>
        <v>19397.152653619854</v>
      </c>
      <c r="Y15" s="27">
        <f>SUM($L$5:L14)*($B$5-D15+1)/$B$5*105%</f>
        <v>245000.00000000003</v>
      </c>
      <c r="Z15" s="27">
        <f t="shared" si="4"/>
        <v>17150.000000000004</v>
      </c>
      <c r="AB15" s="27">
        <f t="shared" si="5"/>
        <v>25522.152653619854</v>
      </c>
      <c r="AC15" s="35">
        <f t="shared" si="6"/>
        <v>0.21494322271466598</v>
      </c>
    </row>
    <row r="16" spans="1:33" x14ac:dyDescent="0.35">
      <c r="A16" s="33" t="s">
        <v>68</v>
      </c>
      <c r="B16" s="36">
        <v>0.15</v>
      </c>
      <c r="D16" s="27">
        <f t="shared" si="13"/>
        <v>12</v>
      </c>
      <c r="E16" s="27">
        <f t="shared" si="13"/>
        <v>41</v>
      </c>
      <c r="G16" s="34">
        <f>VLOOKUP(E16,'Q.2 Data'!$A$4:$B$67,2,0)</f>
        <v>9.075E-4</v>
      </c>
      <c r="H16" s="34">
        <f t="shared" si="14"/>
        <v>0.9931324626782656</v>
      </c>
      <c r="I16" s="34">
        <f t="shared" si="7"/>
        <v>9.0126770988052608E-4</v>
      </c>
      <c r="J16" s="34">
        <f t="shared" si="8"/>
        <v>0.99223119496838508</v>
      </c>
      <c r="L16" s="27">
        <f t="shared" si="9"/>
        <v>35000</v>
      </c>
      <c r="M16" s="27">
        <f t="shared" si="15"/>
        <v>1552.9694217328954</v>
      </c>
      <c r="N16" s="27">
        <f t="shared" si="10"/>
        <v>3500</v>
      </c>
      <c r="O16" s="27">
        <f t="shared" si="11"/>
        <v>15500000</v>
      </c>
      <c r="Q16" s="27">
        <f t="shared" si="0"/>
        <v>34759.636193739294</v>
      </c>
      <c r="R16" s="27">
        <f t="shared" si="1"/>
        <v>1542.3043462696326</v>
      </c>
      <c r="S16" s="27">
        <f t="shared" si="2"/>
        <v>3475.9636193739298</v>
      </c>
      <c r="T16" s="27">
        <f t="shared" si="2"/>
        <v>13969.649503148154</v>
      </c>
      <c r="U16" s="27">
        <v>0</v>
      </c>
      <c r="V16" s="27">
        <f t="shared" si="3"/>
        <v>2081.8957759667019</v>
      </c>
      <c r="W16" s="27">
        <f t="shared" si="12"/>
        <v>17853.614500914286</v>
      </c>
      <c r="Y16" s="27">
        <f>SUM($L$5:L15)*($B$5-D16+1)/$B$5*105%</f>
        <v>256025.00000000003</v>
      </c>
      <c r="Z16" s="27">
        <f t="shared" si="4"/>
        <v>17921.750000000004</v>
      </c>
      <c r="AB16" s="27">
        <f t="shared" si="5"/>
        <v>27200.364500914315</v>
      </c>
      <c r="AC16" s="35">
        <f t="shared" si="6"/>
        <v>0.18690715018666609</v>
      </c>
    </row>
    <row r="17" spans="4:29" x14ac:dyDescent="0.35">
      <c r="D17" s="27">
        <f t="shared" si="13"/>
        <v>13</v>
      </c>
      <c r="E17" s="27">
        <f t="shared" si="13"/>
        <v>42</v>
      </c>
      <c r="G17" s="34">
        <f>VLOOKUP(E17,'Q.2 Data'!$A$4:$B$67,2,0)</f>
        <v>9.8449999999999992E-4</v>
      </c>
      <c r="H17" s="34">
        <f t="shared" si="14"/>
        <v>0.99223119496838508</v>
      </c>
      <c r="I17" s="34">
        <f t="shared" si="7"/>
        <v>9.7685161144637502E-4</v>
      </c>
      <c r="J17" s="34">
        <f t="shared" si="8"/>
        <v>0.99125434335693874</v>
      </c>
      <c r="L17" s="27">
        <f t="shared" si="9"/>
        <v>35000</v>
      </c>
      <c r="M17" s="27">
        <f t="shared" si="15"/>
        <v>1622.8530457108757</v>
      </c>
      <c r="N17" s="27">
        <f t="shared" si="10"/>
        <v>3500</v>
      </c>
      <c r="O17" s="27">
        <f t="shared" si="11"/>
        <v>16000000</v>
      </c>
      <c r="Q17" s="27">
        <f t="shared" si="0"/>
        <v>34728.091823893476</v>
      </c>
      <c r="R17" s="27">
        <f t="shared" si="1"/>
        <v>1610.2454168037855</v>
      </c>
      <c r="S17" s="27">
        <f t="shared" si="2"/>
        <v>3472.8091823893478</v>
      </c>
      <c r="T17" s="27">
        <f t="shared" si="2"/>
        <v>15629.625783142001</v>
      </c>
      <c r="U17" s="27">
        <v>0</v>
      </c>
      <c r="V17" s="27">
        <f t="shared" si="3"/>
        <v>2075.1526057290239</v>
      </c>
      <c r="W17" s="27">
        <f t="shared" si="12"/>
        <v>16090.564047287364</v>
      </c>
      <c r="Y17" s="27">
        <f>SUM($L$5:L16)*($B$5-D17+1)/$B$5*105%</f>
        <v>264600</v>
      </c>
      <c r="Z17" s="27">
        <f t="shared" si="4"/>
        <v>18522</v>
      </c>
      <c r="AB17" s="27">
        <f t="shared" si="5"/>
        <v>28487.564047287367</v>
      </c>
      <c r="AC17" s="35">
        <f t="shared" si="6"/>
        <v>0.16252795668405748</v>
      </c>
    </row>
    <row r="18" spans="4:29" x14ac:dyDescent="0.35">
      <c r="D18" s="27">
        <f t="shared" si="13"/>
        <v>14</v>
      </c>
      <c r="E18" s="27">
        <f t="shared" si="13"/>
        <v>43</v>
      </c>
      <c r="G18" s="34">
        <f>VLOOKUP(E18,'Q.2 Data'!$A$4:$B$67,2,0)</f>
        <v>1.072E-3</v>
      </c>
      <c r="H18" s="34">
        <f t="shared" si="14"/>
        <v>0.99125434335693874</v>
      </c>
      <c r="I18" s="34">
        <f t="shared" si="7"/>
        <v>1.0626246560786383E-3</v>
      </c>
      <c r="J18" s="34">
        <f t="shared" si="8"/>
        <v>0.99019171870086009</v>
      </c>
      <c r="L18" s="27">
        <f t="shared" si="9"/>
        <v>35000</v>
      </c>
      <c r="M18" s="27">
        <f t="shared" si="15"/>
        <v>1695.8814327678647</v>
      </c>
      <c r="N18" s="27">
        <f t="shared" si="10"/>
        <v>3500</v>
      </c>
      <c r="O18" s="27">
        <f t="shared" si="11"/>
        <v>16500000</v>
      </c>
      <c r="Q18" s="27">
        <f t="shared" si="0"/>
        <v>34693.902017492859</v>
      </c>
      <c r="R18" s="27">
        <f t="shared" si="1"/>
        <v>1681.0498360495342</v>
      </c>
      <c r="S18" s="27">
        <f t="shared" si="2"/>
        <v>3469.3902017492856</v>
      </c>
      <c r="T18" s="27">
        <f t="shared" si="2"/>
        <v>17533.306825297532</v>
      </c>
      <c r="U18" s="27">
        <v>0</v>
      </c>
      <c r="V18" s="27">
        <f t="shared" si="3"/>
        <v>2068.042338578583</v>
      </c>
      <c r="W18" s="27">
        <f t="shared" si="12"/>
        <v>14078.19749297509</v>
      </c>
      <c r="Y18" s="27">
        <f>SUM($L$5:L17)*($B$5-D18+1)/$B$5*105%</f>
        <v>270725</v>
      </c>
      <c r="Z18" s="27">
        <f t="shared" si="4"/>
        <v>18950.75</v>
      </c>
      <c r="AB18" s="27">
        <f t="shared" si="5"/>
        <v>29353.94749297509</v>
      </c>
      <c r="AC18" s="35">
        <f t="shared" si="6"/>
        <v>0.14132865798613695</v>
      </c>
    </row>
    <row r="19" spans="4:29" x14ac:dyDescent="0.35">
      <c r="D19" s="27">
        <f t="shared" si="13"/>
        <v>15</v>
      </c>
      <c r="E19" s="27">
        <f t="shared" si="13"/>
        <v>44</v>
      </c>
      <c r="G19" s="34">
        <f>VLOOKUP(E19,'Q.2 Data'!$A$4:$B$67,2,0)</f>
        <v>1.1724999999999999E-3</v>
      </c>
      <c r="H19" s="34">
        <f t="shared" si="14"/>
        <v>0.99019171870086009</v>
      </c>
      <c r="I19" s="34">
        <f t="shared" si="7"/>
        <v>1.1609997901767585E-3</v>
      </c>
      <c r="J19" s="34">
        <f t="shared" si="8"/>
        <v>0.98903071891068328</v>
      </c>
      <c r="L19" s="27">
        <f t="shared" si="9"/>
        <v>35000</v>
      </c>
      <c r="M19" s="27">
        <f t="shared" si="15"/>
        <v>1772.1960972424188</v>
      </c>
      <c r="N19" s="27">
        <f t="shared" si="10"/>
        <v>3500</v>
      </c>
      <c r="O19" s="27">
        <f t="shared" si="11"/>
        <v>17000000</v>
      </c>
      <c r="Q19" s="27">
        <f t="shared" si="0"/>
        <v>34656.710154530105</v>
      </c>
      <c r="R19" s="27">
        <f t="shared" si="1"/>
        <v>1754.8138994034273</v>
      </c>
      <c r="S19" s="27">
        <f t="shared" si="2"/>
        <v>3465.6710154530101</v>
      </c>
      <c r="T19" s="27">
        <f t="shared" si="2"/>
        <v>19736.996433004893</v>
      </c>
      <c r="U19" s="27">
        <v>0</v>
      </c>
      <c r="V19" s="27">
        <f t="shared" si="3"/>
        <v>2060.5357667771568</v>
      </c>
      <c r="W19" s="27">
        <f t="shared" si="12"/>
        <v>11759.764573445929</v>
      </c>
      <c r="Y19" s="27">
        <f>SUM($L$5:L18)*($B$5-D19+1)/$B$5*105%</f>
        <v>274400</v>
      </c>
      <c r="Z19" s="27">
        <f t="shared" si="4"/>
        <v>19208.000000000004</v>
      </c>
      <c r="AB19" s="27">
        <f t="shared" si="5"/>
        <v>29742.764573445933</v>
      </c>
      <c r="AC19" s="35">
        <f t="shared" si="6"/>
        <v>0.1228944852053365</v>
      </c>
    </row>
    <row r="20" spans="4:29" x14ac:dyDescent="0.35">
      <c r="D20" s="27">
        <f t="shared" si="13"/>
        <v>16</v>
      </c>
      <c r="E20" s="27">
        <f t="shared" si="13"/>
        <v>45</v>
      </c>
      <c r="G20" s="34">
        <f>VLOOKUP(E20,'Q.2 Data'!$A$4:$B$67,2,0)</f>
        <v>1.2895000000000001E-3</v>
      </c>
      <c r="H20" s="34">
        <f t="shared" si="14"/>
        <v>0.98903071891068328</v>
      </c>
      <c r="I20" s="34">
        <f t="shared" si="7"/>
        <v>1.2753551120353263E-3</v>
      </c>
      <c r="J20" s="34">
        <f t="shared" si="8"/>
        <v>0.98775536379864792</v>
      </c>
      <c r="L20" s="27">
        <f t="shared" si="9"/>
        <v>35000</v>
      </c>
      <c r="M20" s="27">
        <f t="shared" si="15"/>
        <v>1851.944921618327</v>
      </c>
      <c r="N20" s="27">
        <f t="shared" si="10"/>
        <v>3500</v>
      </c>
      <c r="O20" s="27">
        <f t="shared" si="11"/>
        <v>17500000</v>
      </c>
      <c r="Q20" s="27">
        <f t="shared" si="0"/>
        <v>34616.075161873916</v>
      </c>
      <c r="R20" s="27">
        <f t="shared" si="1"/>
        <v>1831.6304172111629</v>
      </c>
      <c r="S20" s="27">
        <f t="shared" si="2"/>
        <v>3461.6075161873914</v>
      </c>
      <c r="T20" s="27">
        <f t="shared" si="2"/>
        <v>22318.714460618208</v>
      </c>
      <c r="U20" s="27">
        <v>0</v>
      </c>
      <c r="V20" s="27">
        <f t="shared" si="3"/>
        <v>2052.5986059932752</v>
      </c>
      <c r="W20" s="27">
        <f t="shared" si="12"/>
        <v>9056.721373850427</v>
      </c>
      <c r="Y20" s="27">
        <f>SUM($L$5:L19)*($B$5-D20+1)/$B$5*105%</f>
        <v>275625</v>
      </c>
      <c r="Z20" s="27">
        <f t="shared" si="4"/>
        <v>19293.750000000004</v>
      </c>
      <c r="AB20" s="27">
        <f t="shared" si="5"/>
        <v>29575.471373850432</v>
      </c>
      <c r="AC20" s="35">
        <f t="shared" si="6"/>
        <v>0.10686476974377089</v>
      </c>
    </row>
    <row r="21" spans="4:29" x14ac:dyDescent="0.35">
      <c r="D21" s="27">
        <f t="shared" si="13"/>
        <v>17</v>
      </c>
      <c r="E21" s="27">
        <f t="shared" si="13"/>
        <v>46</v>
      </c>
      <c r="G21" s="34">
        <f>VLOOKUP(E21,'Q.2 Data'!$A$4:$B$67,2,0)</f>
        <v>1.4254999999999999E-3</v>
      </c>
      <c r="H21" s="34">
        <f t="shared" si="14"/>
        <v>0.98775536379864792</v>
      </c>
      <c r="I21" s="34">
        <f t="shared" si="7"/>
        <v>1.4080452710949726E-3</v>
      </c>
      <c r="J21" s="34">
        <f t="shared" si="8"/>
        <v>0.98634731852755297</v>
      </c>
      <c r="L21" s="27">
        <f t="shared" si="9"/>
        <v>35000</v>
      </c>
      <c r="M21" s="27">
        <f t="shared" si="15"/>
        <v>1935.2824430911519</v>
      </c>
      <c r="N21" s="27">
        <f t="shared" si="10"/>
        <v>3500</v>
      </c>
      <c r="O21" s="27">
        <f t="shared" si="11"/>
        <v>18000000</v>
      </c>
      <c r="Q21" s="27">
        <f t="shared" si="0"/>
        <v>34571.437732952676</v>
      </c>
      <c r="R21" s="27">
        <f t="shared" si="1"/>
        <v>1911.5856136286368</v>
      </c>
      <c r="S21" s="27">
        <f t="shared" si="2"/>
        <v>3457.1437732952677</v>
      </c>
      <c r="T21" s="27">
        <f t="shared" si="2"/>
        <v>25344.814879709505</v>
      </c>
      <c r="U21" s="27">
        <v>0</v>
      </c>
      <c r="V21" s="27">
        <f t="shared" si="3"/>
        <v>2044.189584222014</v>
      </c>
      <c r="W21" s="27">
        <f t="shared" si="12"/>
        <v>5902.0830505412769</v>
      </c>
      <c r="Y21" s="27">
        <f>SUM($L$5:L20)*($B$5-D21+1)/$B$5*105%</f>
        <v>274400</v>
      </c>
      <c r="Z21" s="27">
        <f t="shared" si="4"/>
        <v>19208.000000000004</v>
      </c>
      <c r="AB21" s="27">
        <f t="shared" si="5"/>
        <v>28785.083050541281</v>
      </c>
      <c r="AC21" s="35">
        <f t="shared" si="6"/>
        <v>9.2925886733713825E-2</v>
      </c>
    </row>
    <row r="22" spans="4:29" x14ac:dyDescent="0.35">
      <c r="D22" s="27">
        <f t="shared" si="13"/>
        <v>18</v>
      </c>
      <c r="E22" s="27">
        <f t="shared" si="13"/>
        <v>47</v>
      </c>
      <c r="G22" s="34">
        <f>VLOOKUP(E22,'Q.2 Data'!$A$4:$B$67,2,0)</f>
        <v>1.5839999999999999E-3</v>
      </c>
      <c r="H22" s="34">
        <f t="shared" si="14"/>
        <v>0.98634731852755297</v>
      </c>
      <c r="I22" s="34">
        <f t="shared" si="7"/>
        <v>1.5623741525476438E-3</v>
      </c>
      <c r="J22" s="34">
        <f t="shared" si="8"/>
        <v>0.9847849443750053</v>
      </c>
      <c r="L22" s="27">
        <f t="shared" si="9"/>
        <v>35000</v>
      </c>
      <c r="M22" s="27">
        <f t="shared" si="15"/>
        <v>2022.3701530302528</v>
      </c>
      <c r="N22" s="27">
        <f t="shared" si="10"/>
        <v>3500</v>
      </c>
      <c r="O22" s="27">
        <f t="shared" si="11"/>
        <v>18500000</v>
      </c>
      <c r="Q22" s="27">
        <f t="shared" si="0"/>
        <v>34522.156148464353</v>
      </c>
      <c r="R22" s="27">
        <f t="shared" si="1"/>
        <v>1994.7593775115467</v>
      </c>
      <c r="S22" s="27">
        <f t="shared" si="2"/>
        <v>3452.2156148464355</v>
      </c>
      <c r="T22" s="27">
        <f t="shared" si="2"/>
        <v>28903.921822131411</v>
      </c>
      <c r="U22" s="27">
        <v>0</v>
      </c>
      <c r="V22" s="27">
        <f t="shared" si="3"/>
        <v>2035.2626809274464</v>
      </c>
      <c r="W22" s="27">
        <f t="shared" si="12"/>
        <v>2206.522014902408</v>
      </c>
      <c r="Y22" s="27">
        <f>SUM($L$5:L21)*($B$5-D22+1)/$B$5*105%</f>
        <v>270725</v>
      </c>
      <c r="Z22" s="27">
        <f t="shared" si="4"/>
        <v>18950.75</v>
      </c>
      <c r="AB22" s="27">
        <f t="shared" si="5"/>
        <v>27282.272014902403</v>
      </c>
      <c r="AC22" s="35">
        <f t="shared" si="6"/>
        <v>8.0805118898881603E-2</v>
      </c>
    </row>
    <row r="23" spans="4:29" x14ac:dyDescent="0.35">
      <c r="D23" s="27">
        <f t="shared" ref="D23:E34" si="16">D22+1</f>
        <v>19</v>
      </c>
      <c r="E23" s="27">
        <f t="shared" si="16"/>
        <v>48</v>
      </c>
      <c r="G23" s="34">
        <f>VLOOKUP(E23,'Q.2 Data'!$A$4:$B$67,2,0)</f>
        <v>1.768E-3</v>
      </c>
      <c r="H23" s="34">
        <f t="shared" si="14"/>
        <v>0.9847849443750053</v>
      </c>
      <c r="I23" s="34">
        <f t="shared" si="7"/>
        <v>1.7410997816550095E-3</v>
      </c>
      <c r="J23" s="34">
        <f t="shared" si="8"/>
        <v>0.98304384459335026</v>
      </c>
      <c r="L23" s="27">
        <f t="shared" si="9"/>
        <v>35000</v>
      </c>
      <c r="M23" s="27">
        <f t="shared" si="15"/>
        <v>2113.3768099166145</v>
      </c>
      <c r="N23" s="27">
        <f t="shared" si="10"/>
        <v>3500</v>
      </c>
      <c r="O23" s="27">
        <f t="shared" si="11"/>
        <v>19000000</v>
      </c>
      <c r="Q23" s="27">
        <f t="shared" si="0"/>
        <v>34467.473053125184</v>
      </c>
      <c r="R23" s="27">
        <f t="shared" si="1"/>
        <v>2081.2216641971595</v>
      </c>
      <c r="S23" s="27">
        <f t="shared" si="2"/>
        <v>3446.7473053125186</v>
      </c>
      <c r="T23" s="27">
        <f t="shared" si="2"/>
        <v>33080.895851445181</v>
      </c>
      <c r="U23" s="27">
        <v>0</v>
      </c>
      <c r="V23" s="27">
        <f t="shared" si="3"/>
        <v>2025.7652858530855</v>
      </c>
      <c r="W23" s="27">
        <f t="shared" si="12"/>
        <v>-2115.6264819765893</v>
      </c>
      <c r="Y23" s="27">
        <f>SUM($L$5:L22)*($B$5-D23+1)/$B$5*105%</f>
        <v>264600</v>
      </c>
      <c r="Z23" s="27">
        <f t="shared" si="4"/>
        <v>18522</v>
      </c>
      <c r="AB23" s="27">
        <f t="shared" si="5"/>
        <v>24981.373518023385</v>
      </c>
      <c r="AC23" s="35">
        <f t="shared" si="6"/>
        <v>7.0265320781636179E-2</v>
      </c>
    </row>
    <row r="24" spans="4:29" x14ac:dyDescent="0.35">
      <c r="D24" s="27">
        <f t="shared" si="16"/>
        <v>20</v>
      </c>
      <c r="E24" s="27">
        <f t="shared" si="16"/>
        <v>49</v>
      </c>
      <c r="G24" s="34">
        <f>VLOOKUP(E24,'Q.2 Data'!$A$4:$B$67,2,0)</f>
        <v>1.9789999999999999E-3</v>
      </c>
      <c r="H24" s="34">
        <f t="shared" si="14"/>
        <v>0.98304384459335026</v>
      </c>
      <c r="I24" s="34">
        <f t="shared" si="7"/>
        <v>1.9454437684502401E-3</v>
      </c>
      <c r="J24" s="34">
        <f t="shared" si="8"/>
        <v>0.98109840082489996</v>
      </c>
      <c r="L24" s="27">
        <f t="shared" si="9"/>
        <v>35000</v>
      </c>
      <c r="M24" s="27">
        <f t="shared" si="15"/>
        <v>2208.4787663628617</v>
      </c>
      <c r="N24" s="27">
        <f t="shared" si="10"/>
        <v>3500</v>
      </c>
      <c r="O24" s="27">
        <f t="shared" si="11"/>
        <v>19500000</v>
      </c>
      <c r="Q24" s="27">
        <f t="shared" si="0"/>
        <v>34406.534560767257</v>
      </c>
      <c r="R24" s="27">
        <f t="shared" si="1"/>
        <v>2171.0314571881268</v>
      </c>
      <c r="S24" s="27">
        <f t="shared" si="2"/>
        <v>3440.6534560767259</v>
      </c>
      <c r="T24" s="27">
        <f t="shared" si="2"/>
        <v>37936.153484779679</v>
      </c>
      <c r="U24" s="27">
        <v>0</v>
      </c>
      <c r="V24" s="27">
        <f t="shared" si="3"/>
        <v>2015.6394753251684</v>
      </c>
      <c r="W24" s="27">
        <f t="shared" si="12"/>
        <v>-7125.6643619521074</v>
      </c>
      <c r="Y24" s="27">
        <f>SUM($L$5:L23)*($B$5-D24+1)/$B$5*105%</f>
        <v>256025.00000000003</v>
      </c>
      <c r="Z24" s="27">
        <f t="shared" si="4"/>
        <v>17921.750000000004</v>
      </c>
      <c r="AB24" s="27">
        <f t="shared" si="5"/>
        <v>21821.085638047891</v>
      </c>
      <c r="AC24" s="35">
        <f t="shared" si="6"/>
        <v>6.1100278940553199E-2</v>
      </c>
    </row>
    <row r="25" spans="4:29" x14ac:dyDescent="0.35">
      <c r="D25" s="27">
        <f t="shared" si="16"/>
        <v>21</v>
      </c>
      <c r="E25" s="27">
        <f t="shared" si="16"/>
        <v>50</v>
      </c>
      <c r="G25" s="34">
        <f>VLOOKUP(E25,'Q.2 Data'!$A$4:$B$67,2,0)</f>
        <v>2.2179999999999999E-3</v>
      </c>
      <c r="H25" s="34">
        <f t="shared" si="14"/>
        <v>0.98109840082489996</v>
      </c>
      <c r="I25" s="34">
        <f t="shared" si="7"/>
        <v>2.1760762530296279E-3</v>
      </c>
      <c r="J25" s="34">
        <f t="shared" si="8"/>
        <v>0.97892232457187034</v>
      </c>
      <c r="L25" s="27">
        <f t="shared" si="9"/>
        <v>35000</v>
      </c>
      <c r="M25" s="27">
        <f t="shared" si="15"/>
        <v>2307.8603108491902</v>
      </c>
      <c r="N25" s="27">
        <f t="shared" si="10"/>
        <v>3500</v>
      </c>
      <c r="O25" s="27">
        <f t="shared" si="11"/>
        <v>20000000</v>
      </c>
      <c r="Q25" s="27">
        <f t="shared" si="0"/>
        <v>34338.444028871498</v>
      </c>
      <c r="R25" s="27">
        <f t="shared" si="1"/>
        <v>2264.2380603013971</v>
      </c>
      <c r="S25" s="27">
        <f t="shared" si="2"/>
        <v>3433.84440288715</v>
      </c>
      <c r="T25" s="27">
        <f t="shared" si="2"/>
        <v>43521.525060592561</v>
      </c>
      <c r="U25" s="27">
        <v>0</v>
      </c>
      <c r="V25" s="27">
        <f t="shared" si="3"/>
        <v>2004.8253095978068</v>
      </c>
      <c r="W25" s="27">
        <f t="shared" si="12"/>
        <v>-12876.338185311801</v>
      </c>
      <c r="Y25" s="27">
        <f>SUM($L$5:L24)*($B$5-D25+1)/$B$5*105%</f>
        <v>245000.00000000003</v>
      </c>
      <c r="Z25" s="27">
        <f t="shared" si="4"/>
        <v>17150.000000000004</v>
      </c>
      <c r="AB25" s="27">
        <f t="shared" si="5"/>
        <v>17748.661814688228</v>
      </c>
      <c r="AC25" s="35">
        <f t="shared" si="6"/>
        <v>5.3130677339611479E-2</v>
      </c>
    </row>
    <row r="26" spans="4:29" x14ac:dyDescent="0.35">
      <c r="D26" s="27">
        <f t="shared" si="16"/>
        <v>22</v>
      </c>
      <c r="E26" s="27">
        <f t="shared" si="16"/>
        <v>51</v>
      </c>
      <c r="G26" s="34">
        <f>VLOOKUP(E26,'Q.2 Data'!$A$4:$B$67,2,0)</f>
        <v>2.4845000000000002E-3</v>
      </c>
      <c r="H26" s="34">
        <f t="shared" si="14"/>
        <v>0.97892232457187034</v>
      </c>
      <c r="I26" s="34">
        <f t="shared" si="7"/>
        <v>2.4321325153988122E-3</v>
      </c>
      <c r="J26" s="34">
        <f t="shared" si="8"/>
        <v>0.97649019205647147</v>
      </c>
      <c r="L26" s="27">
        <f t="shared" si="9"/>
        <v>35000</v>
      </c>
      <c r="M26" s="27">
        <f t="shared" si="15"/>
        <v>2411.714024837403</v>
      </c>
      <c r="N26" s="27">
        <f t="shared" si="10"/>
        <v>3500</v>
      </c>
      <c r="O26" s="27">
        <f t="shared" si="11"/>
        <v>20000000</v>
      </c>
      <c r="Q26" s="27">
        <f t="shared" si="0"/>
        <v>34262.281360015462</v>
      </c>
      <c r="R26" s="27">
        <f t="shared" si="1"/>
        <v>2360.8806993964122</v>
      </c>
      <c r="S26" s="27">
        <f t="shared" si="2"/>
        <v>3426.2281360015463</v>
      </c>
      <c r="T26" s="27">
        <f t="shared" si="2"/>
        <v>48642.650307976248</v>
      </c>
      <c r="U26" s="27">
        <v>0</v>
      </c>
      <c r="V26" s="27">
        <f t="shared" si="3"/>
        <v>1993.2620767232252</v>
      </c>
      <c r="W26" s="27">
        <f t="shared" si="12"/>
        <v>-18174.215706635521</v>
      </c>
      <c r="Y26" s="27">
        <f>SUM($L$5:L25)*($B$5-D26+1)/$B$5*105%</f>
        <v>231525</v>
      </c>
      <c r="Z26" s="27">
        <f t="shared" si="4"/>
        <v>16206.750000000002</v>
      </c>
      <c r="AB26" s="27">
        <f t="shared" si="5"/>
        <v>13957.534293364452</v>
      </c>
      <c r="AC26" s="35">
        <f t="shared" si="6"/>
        <v>4.6200588990966504E-2</v>
      </c>
    </row>
    <row r="27" spans="4:29" x14ac:dyDescent="0.35">
      <c r="D27" s="27">
        <f t="shared" si="16"/>
        <v>23</v>
      </c>
      <c r="E27" s="27">
        <f t="shared" si="16"/>
        <v>52</v>
      </c>
      <c r="G27" s="34">
        <f>VLOOKUP(E27,'Q.2 Data'!$A$4:$B$67,2,0)</f>
        <v>2.7750000000000001E-3</v>
      </c>
      <c r="H27" s="34">
        <f t="shared" si="14"/>
        <v>0.97649019205647147</v>
      </c>
      <c r="I27" s="34">
        <f t="shared" si="7"/>
        <v>2.7097602829567083E-3</v>
      </c>
      <c r="J27" s="34">
        <f t="shared" si="8"/>
        <v>0.97378043177351481</v>
      </c>
      <c r="L27" s="27">
        <f t="shared" si="9"/>
        <v>35000</v>
      </c>
      <c r="M27" s="27">
        <f t="shared" si="15"/>
        <v>2520.2411559550865</v>
      </c>
      <c r="N27" s="27">
        <f t="shared" si="10"/>
        <v>3500</v>
      </c>
      <c r="O27" s="27">
        <f t="shared" si="11"/>
        <v>20000000</v>
      </c>
      <c r="Q27" s="27">
        <f t="shared" si="0"/>
        <v>34177.156721976498</v>
      </c>
      <c r="R27" s="27">
        <f t="shared" si="1"/>
        <v>2460.9907704072061</v>
      </c>
      <c r="S27" s="27">
        <f t="shared" si="2"/>
        <v>3417.7156721976503</v>
      </c>
      <c r="T27" s="27">
        <f t="shared" si="2"/>
        <v>54195.205659134168</v>
      </c>
      <c r="U27" s="27">
        <v>0</v>
      </c>
      <c r="V27" s="27">
        <f t="shared" si="3"/>
        <v>1980.8915195560151</v>
      </c>
      <c r="W27" s="27">
        <f t="shared" si="12"/>
        <v>-23915.863860206511</v>
      </c>
      <c r="Y27" s="27">
        <f>SUM($L$5:L26)*($B$5-D27+1)/$B$5*105%</f>
        <v>215600.00000000003</v>
      </c>
      <c r="Z27" s="27">
        <f t="shared" si="4"/>
        <v>15092.000000000004</v>
      </c>
      <c r="AB27" s="27">
        <f t="shared" si="5"/>
        <v>9551.1361397934925</v>
      </c>
      <c r="AC27" s="35">
        <f t="shared" si="6"/>
        <v>4.0174425209536097E-2</v>
      </c>
    </row>
    <row r="28" spans="4:29" x14ac:dyDescent="0.35">
      <c r="D28" s="27">
        <f t="shared" si="16"/>
        <v>24</v>
      </c>
      <c r="E28" s="27">
        <f t="shared" si="16"/>
        <v>53</v>
      </c>
      <c r="G28" s="34">
        <f>VLOOKUP(E28,'Q.2 Data'!$A$4:$B$67,2,0)</f>
        <v>3.0869999999999999E-3</v>
      </c>
      <c r="H28" s="34">
        <f t="shared" si="14"/>
        <v>0.97378043177351481</v>
      </c>
      <c r="I28" s="34">
        <f t="shared" si="7"/>
        <v>3.0060601928848401E-3</v>
      </c>
      <c r="J28" s="34">
        <f t="shared" si="8"/>
        <v>0.97077437158062996</v>
      </c>
      <c r="L28" s="27">
        <f t="shared" si="9"/>
        <v>35000</v>
      </c>
      <c r="M28" s="27">
        <f t="shared" si="15"/>
        <v>2633.6520079730644</v>
      </c>
      <c r="N28" s="27">
        <f t="shared" si="10"/>
        <v>3500</v>
      </c>
      <c r="O28" s="27">
        <f t="shared" si="11"/>
        <v>20000000</v>
      </c>
      <c r="Q28" s="27">
        <f t="shared" si="0"/>
        <v>34082.315112073018</v>
      </c>
      <c r="R28" s="27">
        <f t="shared" si="1"/>
        <v>2564.5987894651948</v>
      </c>
      <c r="S28" s="27">
        <f t="shared" si="2"/>
        <v>3408.231511207302</v>
      </c>
      <c r="T28" s="27">
        <f t="shared" si="2"/>
        <v>60121.203857696804</v>
      </c>
      <c r="U28" s="27">
        <v>0</v>
      </c>
      <c r="V28" s="27">
        <f t="shared" si="3"/>
        <v>1967.6639367980367</v>
      </c>
      <c r="W28" s="27">
        <f t="shared" si="12"/>
        <v>-30044.055109498247</v>
      </c>
      <c r="Y28" s="27">
        <f>SUM($L$5:L27)*($B$5-D28+1)/$B$5*105%</f>
        <v>197225.00000000003</v>
      </c>
      <c r="Z28" s="27">
        <f t="shared" si="4"/>
        <v>13805.750000000004</v>
      </c>
      <c r="AB28" s="27">
        <f t="shared" si="5"/>
        <v>4586.6948905017962</v>
      </c>
      <c r="AC28" s="35">
        <f t="shared" si="6"/>
        <v>3.493428279090096E-2</v>
      </c>
    </row>
    <row r="29" spans="4:29" x14ac:dyDescent="0.35">
      <c r="D29" s="27">
        <f t="shared" si="16"/>
        <v>25</v>
      </c>
      <c r="E29" s="27">
        <f t="shared" si="16"/>
        <v>54</v>
      </c>
      <c r="G29" s="34">
        <f>VLOOKUP(E29,'Q.2 Data'!$A$4:$B$67,2,0)</f>
        <v>3.4155000000000001E-3</v>
      </c>
      <c r="H29" s="34">
        <f t="shared" si="14"/>
        <v>0.97077437158062996</v>
      </c>
      <c r="I29" s="34">
        <f t="shared" si="7"/>
        <v>3.3156798661336416E-3</v>
      </c>
      <c r="J29" s="34">
        <f t="shared" si="8"/>
        <v>0.96745869171449628</v>
      </c>
      <c r="L29" s="27">
        <f t="shared" si="9"/>
        <v>35000</v>
      </c>
      <c r="M29" s="27">
        <f t="shared" si="15"/>
        <v>2752.1663483318525</v>
      </c>
      <c r="N29" s="27">
        <f t="shared" si="10"/>
        <v>3500</v>
      </c>
      <c r="O29" s="27">
        <f t="shared" si="11"/>
        <v>20000000</v>
      </c>
      <c r="Q29" s="27">
        <f t="shared" si="0"/>
        <v>33977.103005322046</v>
      </c>
      <c r="R29" s="27">
        <f t="shared" si="1"/>
        <v>2671.7325572872114</v>
      </c>
      <c r="S29" s="27">
        <f t="shared" si="2"/>
        <v>3397.7103005322047</v>
      </c>
      <c r="T29" s="27">
        <f t="shared" si="2"/>
        <v>66313.597322672838</v>
      </c>
      <c r="U29" s="27">
        <v>0</v>
      </c>
      <c r="V29" s="27">
        <f t="shared" si="3"/>
        <v>1953.5362103251841</v>
      </c>
      <c r="W29" s="27">
        <f t="shared" si="12"/>
        <v>-36452.40096484503</v>
      </c>
      <c r="Y29" s="27">
        <f>SUM($L$5:L28)*($B$5-D29+1)/$B$5*105%</f>
        <v>176400</v>
      </c>
      <c r="Z29" s="27">
        <f t="shared" si="4"/>
        <v>12348.000000000002</v>
      </c>
      <c r="AB29" s="27">
        <f t="shared" si="5"/>
        <v>-829.40096484505739</v>
      </c>
      <c r="AC29" s="35">
        <f t="shared" si="6"/>
        <v>3.03776372094791E-2</v>
      </c>
    </row>
    <row r="30" spans="4:29" x14ac:dyDescent="0.35">
      <c r="D30" s="27">
        <f t="shared" si="16"/>
        <v>26</v>
      </c>
      <c r="E30" s="27">
        <f t="shared" si="16"/>
        <v>55</v>
      </c>
      <c r="G30" s="34">
        <f>VLOOKUP(E30,'Q.2 Data'!$A$4:$B$67,2,0)</f>
        <v>3.7564999999999999E-3</v>
      </c>
      <c r="H30" s="34">
        <f t="shared" si="14"/>
        <v>0.96745869171449628</v>
      </c>
      <c r="I30" s="34">
        <f t="shared" si="7"/>
        <v>3.634258575425505E-3</v>
      </c>
      <c r="J30" s="34">
        <f t="shared" si="8"/>
        <v>0.96382443313907074</v>
      </c>
      <c r="L30" s="27">
        <f t="shared" si="9"/>
        <v>35000</v>
      </c>
      <c r="M30" s="27">
        <f t="shared" si="15"/>
        <v>2876.0138340067851</v>
      </c>
      <c r="N30" s="27">
        <f t="shared" si="10"/>
        <v>3500</v>
      </c>
      <c r="O30" s="27">
        <f t="shared" si="11"/>
        <v>20000000</v>
      </c>
      <c r="Q30" s="27">
        <f t="shared" si="0"/>
        <v>33861.054210007373</v>
      </c>
      <c r="R30" s="27">
        <f t="shared" si="1"/>
        <v>2782.4245812009967</v>
      </c>
      <c r="S30" s="27">
        <f t="shared" si="2"/>
        <v>3386.1054210007369</v>
      </c>
      <c r="T30" s="27">
        <f t="shared" si="2"/>
        <v>72685.171508510102</v>
      </c>
      <c r="U30" s="27">
        <v>0</v>
      </c>
      <c r="V30" s="27">
        <f t="shared" si="3"/>
        <v>1938.476694546395</v>
      </c>
      <c r="W30" s="27">
        <f t="shared" si="12"/>
        <v>-43054.17060615807</v>
      </c>
      <c r="Y30" s="27">
        <f>SUM($L$5:L29)*($B$5-D30+1)/$B$5*105%</f>
        <v>153125.00000000003</v>
      </c>
      <c r="Z30" s="27">
        <f t="shared" si="4"/>
        <v>10718.750000000004</v>
      </c>
      <c r="AB30" s="27">
        <f t="shared" si="5"/>
        <v>-6610.4206061580371</v>
      </c>
      <c r="AC30" s="35">
        <f t="shared" si="6"/>
        <v>2.6415336703894867E-2</v>
      </c>
    </row>
    <row r="31" spans="4:29" x14ac:dyDescent="0.35">
      <c r="D31" s="27">
        <f t="shared" si="16"/>
        <v>27</v>
      </c>
      <c r="E31" s="27">
        <f t="shared" si="16"/>
        <v>56</v>
      </c>
      <c r="G31" s="34">
        <f>VLOOKUP(E31,'Q.2 Data'!$A$4:$B$67,2,0)</f>
        <v>4.1060000000000003E-3</v>
      </c>
      <c r="H31" s="34">
        <f t="shared" si="14"/>
        <v>0.96382443313907074</v>
      </c>
      <c r="I31" s="34">
        <f t="shared" si="7"/>
        <v>3.957463122469025E-3</v>
      </c>
      <c r="J31" s="34">
        <f t="shared" si="8"/>
        <v>0.95986697001660171</v>
      </c>
      <c r="L31" s="27">
        <f t="shared" si="9"/>
        <v>35000</v>
      </c>
      <c r="M31" s="27">
        <f t="shared" si="15"/>
        <v>3005.4344565370907</v>
      </c>
      <c r="N31" s="27">
        <f t="shared" si="10"/>
        <v>3500</v>
      </c>
      <c r="O31" s="27">
        <f t="shared" si="11"/>
        <v>20000000</v>
      </c>
      <c r="Q31" s="27">
        <f t="shared" si="0"/>
        <v>33733.855159867475</v>
      </c>
      <c r="R31" s="27">
        <f t="shared" si="1"/>
        <v>2896.7111614084924</v>
      </c>
      <c r="S31" s="27">
        <f t="shared" si="2"/>
        <v>3373.3855159867476</v>
      </c>
      <c r="T31" s="27">
        <f t="shared" si="2"/>
        <v>79149.262449380505</v>
      </c>
      <c r="U31" s="27">
        <v>0</v>
      </c>
      <c r="V31" s="27">
        <f t="shared" si="3"/>
        <v>1922.4630937730565</v>
      </c>
      <c r="W31" s="27">
        <f t="shared" si="12"/>
        <v>-49763.040873135222</v>
      </c>
      <c r="Y31" s="27">
        <f>SUM($L$5:L30)*($B$5-D31+1)/$B$5*105%</f>
        <v>127400</v>
      </c>
      <c r="Z31" s="27">
        <f t="shared" si="4"/>
        <v>8918</v>
      </c>
      <c r="AB31" s="27">
        <f t="shared" si="5"/>
        <v>-12670.040873135214</v>
      </c>
      <c r="AC31" s="35">
        <f t="shared" si="6"/>
        <v>2.2969858003386846E-2</v>
      </c>
    </row>
    <row r="32" spans="4:29" x14ac:dyDescent="0.35">
      <c r="D32" s="27">
        <f t="shared" si="16"/>
        <v>28</v>
      </c>
      <c r="E32" s="27">
        <f t="shared" si="16"/>
        <v>57</v>
      </c>
      <c r="G32" s="34">
        <f>VLOOKUP(E32,'Q.2 Data'!$A$4:$B$67,2,0)</f>
        <v>4.4625000000000003E-3</v>
      </c>
      <c r="H32" s="34">
        <f t="shared" si="14"/>
        <v>0.95986697001660171</v>
      </c>
      <c r="I32" s="34">
        <f t="shared" si="7"/>
        <v>4.2834063536990857E-3</v>
      </c>
      <c r="J32" s="34">
        <f t="shared" si="8"/>
        <v>0.95558356366290265</v>
      </c>
      <c r="L32" s="27">
        <f t="shared" si="9"/>
        <v>35000</v>
      </c>
      <c r="M32" s="27">
        <f t="shared" si="15"/>
        <v>3140.6790070812585</v>
      </c>
      <c r="N32" s="27">
        <f t="shared" si="10"/>
        <v>3500</v>
      </c>
      <c r="O32" s="27">
        <f t="shared" si="11"/>
        <v>20000000</v>
      </c>
      <c r="Q32" s="27">
        <f t="shared" si="0"/>
        <v>33595.34395058106</v>
      </c>
      <c r="R32" s="27">
        <f t="shared" si="1"/>
        <v>3014.6340423218367</v>
      </c>
      <c r="S32" s="27">
        <f t="shared" si="2"/>
        <v>3359.5343950581059</v>
      </c>
      <c r="T32" s="27">
        <f t="shared" si="2"/>
        <v>85668.127073981712</v>
      </c>
      <c r="U32" s="27">
        <v>0</v>
      </c>
      <c r="V32" s="27">
        <f t="shared" si="3"/>
        <v>1905.4822859240785</v>
      </c>
      <c r="W32" s="27">
        <f t="shared" si="12"/>
        <v>-56541.469274856514</v>
      </c>
      <c r="Y32" s="27">
        <f>SUM($L$5:L31)*($B$5-D32+1)/$B$5*105%</f>
        <v>99225</v>
      </c>
      <c r="Z32" s="27">
        <f t="shared" si="4"/>
        <v>6945.7500000000009</v>
      </c>
      <c r="AB32" s="27">
        <f t="shared" si="5"/>
        <v>-18970.719274856507</v>
      </c>
      <c r="AC32" s="35">
        <f t="shared" si="6"/>
        <v>1.9973789568162478E-2</v>
      </c>
    </row>
    <row r="33" spans="4:29" x14ac:dyDescent="0.35">
      <c r="D33" s="27">
        <f t="shared" si="16"/>
        <v>29</v>
      </c>
      <c r="E33" s="27">
        <f t="shared" si="16"/>
        <v>58</v>
      </c>
      <c r="G33" s="34">
        <f>VLOOKUP(E33,'Q.2 Data'!$A$4:$B$67,2,0)</f>
        <v>4.8254999999999999E-3</v>
      </c>
      <c r="H33" s="34">
        <f t="shared" si="14"/>
        <v>0.95558356366290265</v>
      </c>
      <c r="I33" s="34">
        <f t="shared" si="7"/>
        <v>4.6111684864553366E-3</v>
      </c>
      <c r="J33" s="34">
        <f t="shared" si="8"/>
        <v>0.95097239517644727</v>
      </c>
      <c r="L33" s="27">
        <f t="shared" si="9"/>
        <v>35000</v>
      </c>
      <c r="M33" s="27">
        <f t="shared" si="15"/>
        <v>3282.0095623999155</v>
      </c>
      <c r="N33" s="27">
        <f t="shared" si="10"/>
        <v>3500</v>
      </c>
      <c r="O33" s="27">
        <f t="shared" si="11"/>
        <v>20000000</v>
      </c>
      <c r="Q33" s="27">
        <f t="shared" si="0"/>
        <v>33445.424728201593</v>
      </c>
      <c r="R33" s="27">
        <f t="shared" si="1"/>
        <v>3136.234393613835</v>
      </c>
      <c r="S33" s="27">
        <f t="shared" si="2"/>
        <v>3344.5424728201592</v>
      </c>
      <c r="T33" s="27">
        <f t="shared" si="2"/>
        <v>92223.369729106736</v>
      </c>
      <c r="U33" s="27">
        <v>0</v>
      </c>
      <c r="V33" s="27">
        <f t="shared" si="3"/>
        <v>1887.5253503237323</v>
      </c>
      <c r="W33" s="27">
        <f t="shared" si="12"/>
        <v>-63371.1965170154</v>
      </c>
      <c r="Y33" s="27">
        <f>SUM($L$5:L32)*($B$5-D33+1)/$B$5*105%</f>
        <v>68600</v>
      </c>
      <c r="Z33" s="27">
        <f t="shared" si="4"/>
        <v>4802.0000000000009</v>
      </c>
      <c r="AB33" s="27">
        <f t="shared" si="5"/>
        <v>-25494.196517015414</v>
      </c>
      <c r="AC33" s="35">
        <f t="shared" si="6"/>
        <v>1.7368512667967372E-2</v>
      </c>
    </row>
    <row r="34" spans="4:29" x14ac:dyDescent="0.35">
      <c r="D34" s="27">
        <f t="shared" si="16"/>
        <v>30</v>
      </c>
      <c r="E34" s="27">
        <f t="shared" si="16"/>
        <v>59</v>
      </c>
      <c r="G34" s="34">
        <f>VLOOKUP(E34,'Q.2 Data'!$A$4:$B$67,2,0)</f>
        <v>5.1964999999999997E-3</v>
      </c>
      <c r="H34" s="34">
        <f t="shared" si="14"/>
        <v>0.95097239517644727</v>
      </c>
      <c r="I34" s="34">
        <f t="shared" si="7"/>
        <v>4.9417280515344081E-3</v>
      </c>
      <c r="J34" s="34">
        <f t="shared" si="8"/>
        <v>0.94603066712491291</v>
      </c>
      <c r="L34" s="27">
        <f t="shared" si="9"/>
        <v>35000</v>
      </c>
      <c r="M34" s="27">
        <f t="shared" si="15"/>
        <v>3429.699992707911</v>
      </c>
      <c r="N34" s="27">
        <f t="shared" si="10"/>
        <v>3500</v>
      </c>
      <c r="O34" s="27">
        <f t="shared" si="11"/>
        <v>20000000</v>
      </c>
      <c r="Q34" s="27">
        <f t="shared" si="0"/>
        <v>33284.033831175657</v>
      </c>
      <c r="R34" s="27">
        <f t="shared" si="1"/>
        <v>3261.5500168020858</v>
      </c>
      <c r="S34" s="27">
        <f t="shared" si="2"/>
        <v>3328.4033831175652</v>
      </c>
      <c r="T34" s="27">
        <f t="shared" si="2"/>
        <v>98834.561030688157</v>
      </c>
      <c r="U34" s="27">
        <v>0</v>
      </c>
      <c r="V34" s="27">
        <f t="shared" si="3"/>
        <v>1868.5856301879207</v>
      </c>
      <c r="W34" s="27">
        <f t="shared" si="12"/>
        <v>-70271.894969244226</v>
      </c>
      <c r="Y34" s="27">
        <f>SUM($L$5:L33)*($B$5-D34+1)/$B$5*105%</f>
        <v>35525.000000000007</v>
      </c>
      <c r="Z34" s="27">
        <f t="shared" si="4"/>
        <v>2486.7500000000009</v>
      </c>
      <c r="AB34" s="27">
        <f t="shared" si="5"/>
        <v>-32260.144969244233</v>
      </c>
      <c r="AC34" s="35">
        <f t="shared" si="6"/>
        <v>1.5103054493884669E-2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G34"/>
  <sheetViews>
    <sheetView zoomScale="70" zoomScaleNormal="70" workbookViewId="0"/>
  </sheetViews>
  <sheetFormatPr defaultColWidth="8.1640625" defaultRowHeight="15.5" x14ac:dyDescent="0.35"/>
  <cols>
    <col min="1" max="1" width="23.33203125" style="27" customWidth="1"/>
    <col min="2" max="2" width="13.6640625" style="27" bestFit="1" customWidth="1"/>
    <col min="3" max="3" width="8.1640625" style="27"/>
    <col min="4" max="5" width="8.4140625" style="27" bestFit="1" customWidth="1"/>
    <col min="6" max="6" width="8.1640625" style="27"/>
    <col min="7" max="10" width="14.83203125" style="27" customWidth="1"/>
    <col min="11" max="11" width="8.1640625" style="27"/>
    <col min="12" max="12" width="9" style="27" bestFit="1" customWidth="1"/>
    <col min="13" max="13" width="8.1640625" style="27"/>
    <col min="14" max="14" width="11.4140625" style="27" bestFit="1" customWidth="1"/>
    <col min="15" max="15" width="19.1640625" style="27" customWidth="1"/>
    <col min="16" max="16" width="8.1640625" style="27"/>
    <col min="17" max="23" width="14.9140625" style="27" customWidth="1"/>
    <col min="24" max="24" width="8.1640625" style="27"/>
    <col min="25" max="25" width="17.08203125" style="27" customWidth="1"/>
    <col min="26" max="26" width="12.5" style="27" bestFit="1" customWidth="1"/>
    <col min="27" max="27" width="8.1640625" style="27"/>
    <col min="28" max="29" width="14.5" style="27" customWidth="1"/>
    <col min="30" max="30" width="8.1640625" style="27"/>
    <col min="31" max="31" width="18.9140625" style="27" bestFit="1" customWidth="1"/>
    <col min="32" max="32" width="10.5" style="27" bestFit="1" customWidth="1"/>
    <col min="33" max="33" width="8.1640625" style="28"/>
    <col min="34" max="16384" width="8.1640625" style="27"/>
  </cols>
  <sheetData>
    <row r="2" spans="1:33" s="28" customFormat="1" x14ac:dyDescent="0.35">
      <c r="A2" s="27"/>
      <c r="B2" s="27"/>
      <c r="C2" s="27"/>
      <c r="D2" s="27"/>
      <c r="E2" s="27"/>
      <c r="F2" s="27"/>
      <c r="K2" s="27"/>
      <c r="M2" s="29"/>
      <c r="N2" s="29"/>
      <c r="P2" s="27"/>
      <c r="Q2" s="29"/>
      <c r="R2" s="29"/>
      <c r="S2" s="29"/>
      <c r="T2" s="29"/>
      <c r="V2" s="29"/>
      <c r="W2" s="29"/>
      <c r="X2" s="27"/>
      <c r="AA2" s="27"/>
      <c r="AB2" s="29"/>
    </row>
    <row r="3" spans="1:33" s="28" customFormat="1" ht="14.5" x14ac:dyDescent="0.35">
      <c r="G3" s="30" t="s">
        <v>30</v>
      </c>
      <c r="L3" s="30" t="s">
        <v>31</v>
      </c>
      <c r="Q3" s="30" t="s">
        <v>32</v>
      </c>
      <c r="Y3" s="30" t="s">
        <v>33</v>
      </c>
    </row>
    <row r="4" spans="1:33" s="31" customFormat="1" ht="46.5" x14ac:dyDescent="0.35">
      <c r="A4" s="30" t="s">
        <v>34</v>
      </c>
      <c r="D4" s="31" t="s">
        <v>35</v>
      </c>
      <c r="E4" s="31" t="s">
        <v>28</v>
      </c>
      <c r="G4" s="31" t="s">
        <v>36</v>
      </c>
      <c r="H4" s="31" t="s">
        <v>37</v>
      </c>
      <c r="I4" s="31" t="s">
        <v>38</v>
      </c>
      <c r="J4" s="31" t="s">
        <v>39</v>
      </c>
      <c r="L4" s="31" t="s">
        <v>40</v>
      </c>
      <c r="M4" s="31" t="s">
        <v>41</v>
      </c>
      <c r="N4" s="31" t="s">
        <v>42</v>
      </c>
      <c r="O4" s="31" t="s">
        <v>43</v>
      </c>
      <c r="Q4" s="31" t="s">
        <v>44</v>
      </c>
      <c r="R4" s="31" t="s">
        <v>45</v>
      </c>
      <c r="S4" s="31" t="s">
        <v>46</v>
      </c>
      <c r="T4" s="31" t="s">
        <v>47</v>
      </c>
      <c r="U4" s="31" t="s">
        <v>48</v>
      </c>
      <c r="V4" s="31" t="s">
        <v>49</v>
      </c>
      <c r="W4" s="31" t="s">
        <v>50</v>
      </c>
      <c r="Y4" s="31" t="s">
        <v>51</v>
      </c>
      <c r="Z4" s="31" t="s">
        <v>52</v>
      </c>
      <c r="AB4" s="31" t="s">
        <v>53</v>
      </c>
      <c r="AC4" s="31" t="s">
        <v>54</v>
      </c>
      <c r="AG4" s="32"/>
    </row>
    <row r="5" spans="1:33" x14ac:dyDescent="0.35">
      <c r="A5" s="33" t="s">
        <v>55</v>
      </c>
      <c r="B5" s="27">
        <v>30</v>
      </c>
      <c r="D5" s="27">
        <v>1</v>
      </c>
      <c r="E5" s="27">
        <f>B9</f>
        <v>30</v>
      </c>
      <c r="G5" s="34">
        <f>VLOOKUP(E5,'Q.2 Data'!$A$4:$B$67,2,0)</f>
        <v>4.885E-4</v>
      </c>
      <c r="H5" s="34">
        <v>1</v>
      </c>
      <c r="I5" s="34">
        <f>G5*H5</f>
        <v>4.885E-4</v>
      </c>
      <c r="J5" s="34">
        <f>H5-I5</f>
        <v>0.9995115</v>
      </c>
      <c r="L5" s="38">
        <f>$B$8</f>
        <v>42202.294502912642</v>
      </c>
      <c r="M5" s="27">
        <f>$B$10</f>
        <v>2000</v>
      </c>
      <c r="N5" s="27">
        <f>B13*L5</f>
        <v>12660.688350873792</v>
      </c>
      <c r="O5" s="27">
        <f>MIN($B$6*(1+$B$7*(D5-1)),200%*$B$6)</f>
        <v>10000000</v>
      </c>
      <c r="Q5" s="27">
        <f t="shared" ref="Q5:Q34" si="0">L5*H5</f>
        <v>42202.294502912642</v>
      </c>
      <c r="R5" s="27">
        <f t="shared" ref="R5:R34" si="1">M5*H5</f>
        <v>2000</v>
      </c>
      <c r="S5" s="27">
        <f t="shared" ref="S5:T34" si="2">N5*H5</f>
        <v>12660.688350873792</v>
      </c>
      <c r="T5" s="27">
        <f t="shared" si="2"/>
        <v>4885</v>
      </c>
      <c r="U5" s="38">
        <v>0</v>
      </c>
      <c r="V5" s="27">
        <f t="shared" ref="V5:V34" si="3">(Q5-R5-S5)*$B$15</f>
        <v>1927.9124306427198</v>
      </c>
      <c r="W5" s="27">
        <f>Q5-R5-S5-T5-U5+V5</f>
        <v>24584.518582681569</v>
      </c>
      <c r="Y5" s="27">
        <v>0</v>
      </c>
      <c r="Z5" s="27">
        <f t="shared" ref="Z5:Z34" si="4">Y5*$B$15</f>
        <v>0</v>
      </c>
      <c r="AB5" s="27">
        <f>SUM(Q5,V5)-SUM(R5:U5)-(Y6-Y5)+Z5</f>
        <v>-18250.810337774765</v>
      </c>
      <c r="AC5" s="35">
        <f>(1+$B$16)^(-D5)</f>
        <v>0.86956521739130443</v>
      </c>
      <c r="AE5" s="27" t="s">
        <v>56</v>
      </c>
      <c r="AF5" s="27">
        <f>SUMPRODUCT(AB5:AB34,AC5:AC34)</f>
        <v>65987.001473857759</v>
      </c>
    </row>
    <row r="6" spans="1:33" x14ac:dyDescent="0.35">
      <c r="A6" s="33" t="s">
        <v>57</v>
      </c>
      <c r="B6" s="27">
        <v>10000000</v>
      </c>
      <c r="D6" s="27">
        <f>D5+1</f>
        <v>2</v>
      </c>
      <c r="E6" s="27">
        <f>E5+1</f>
        <v>31</v>
      </c>
      <c r="G6" s="34">
        <f>VLOOKUP(E6,'Q.2 Data'!$A$4:$B$67,2,0)</f>
        <v>5.0250000000000002E-4</v>
      </c>
      <c r="H6" s="34">
        <f>J5</f>
        <v>0.9995115</v>
      </c>
      <c r="I6" s="34">
        <f t="shared" ref="I6:I34" si="5">G6*H6</f>
        <v>5.0225452874999999E-4</v>
      </c>
      <c r="J6" s="34">
        <f t="shared" ref="J6:J34" si="6">H6-I6</f>
        <v>0.99900924547125003</v>
      </c>
      <c r="L6" s="38">
        <f t="shared" ref="L6:L34" si="7">$B$8</f>
        <v>42202.294502912642</v>
      </c>
      <c r="M6" s="27">
        <f>$B$11*(1+$B$12)^(D6-2)</f>
        <v>1000</v>
      </c>
      <c r="N6" s="27">
        <f t="shared" ref="N6:N34" si="8">$B$14*L6</f>
        <v>4220.2294502912646</v>
      </c>
      <c r="O6" s="27">
        <f t="shared" ref="O6:O34" si="9">MIN($B$6*(1+$B$7*(D6-1)),200%*$B$6)</f>
        <v>10500000</v>
      </c>
      <c r="Q6" s="27">
        <f t="shared" si="0"/>
        <v>42181.678682047968</v>
      </c>
      <c r="R6" s="27">
        <f t="shared" si="1"/>
        <v>999.51149999999996</v>
      </c>
      <c r="S6" s="27">
        <f t="shared" si="2"/>
        <v>4218.1678682047977</v>
      </c>
      <c r="T6" s="27">
        <f t="shared" si="2"/>
        <v>5273.672551875</v>
      </c>
      <c r="U6" s="38">
        <v>0</v>
      </c>
      <c r="V6" s="27">
        <f t="shared" si="3"/>
        <v>2587.4799519690218</v>
      </c>
      <c r="W6" s="27">
        <f t="shared" ref="W6:W34" si="10">Q6-R6-S6-T6-U6+V6</f>
        <v>34277.806713937192</v>
      </c>
      <c r="Y6" s="27">
        <f>SUM($L$5:L5)*($B$5-D6+1)/$B$5*105%</f>
        <v>42835.328920456333</v>
      </c>
      <c r="Z6" s="27">
        <f t="shared" si="4"/>
        <v>2998.4730244319435</v>
      </c>
      <c r="AB6" s="27">
        <f t="shared" ref="AB6:AB34" si="11">SUM(Q6,V6)-SUM(R6:U6)-(Y7-Y6)+Z6</f>
        <v>-2604.88856688331</v>
      </c>
      <c r="AC6" s="35">
        <f t="shared" ref="AC6:AC34" si="12">(1+$B$16)^(-D6)</f>
        <v>0.7561436672967865</v>
      </c>
      <c r="AE6" s="27" t="s">
        <v>58</v>
      </c>
      <c r="AF6" s="27">
        <f>SUMPRODUCT(Q5:Q34,AC5:AC34)*(1+B16)</f>
        <v>317226.16657277907</v>
      </c>
    </row>
    <row r="7" spans="1:33" x14ac:dyDescent="0.35">
      <c r="A7" s="33" t="s">
        <v>59</v>
      </c>
      <c r="B7" s="36">
        <v>0.05</v>
      </c>
      <c r="D7" s="27">
        <f t="shared" ref="D7:E22" si="13">D6+1</f>
        <v>3</v>
      </c>
      <c r="E7" s="27">
        <f t="shared" si="13"/>
        <v>32</v>
      </c>
      <c r="G7" s="34">
        <f>VLOOKUP(E7,'Q.2 Data'!$A$4:$B$67,2,0)</f>
        <v>5.2099999999999998E-4</v>
      </c>
      <c r="H7" s="34">
        <f t="shared" ref="H7:H34" si="14">J6</f>
        <v>0.99900924547125003</v>
      </c>
      <c r="I7" s="34">
        <f t="shared" si="5"/>
        <v>5.2048381689052123E-4</v>
      </c>
      <c r="J7" s="34">
        <f t="shared" si="6"/>
        <v>0.99848876165435951</v>
      </c>
      <c r="L7" s="38">
        <f t="shared" si="7"/>
        <v>42202.294502912642</v>
      </c>
      <c r="M7" s="27">
        <f t="shared" ref="M7:M34" si="15">$B$11*(1+$B$12)^(D7-2)</f>
        <v>1045</v>
      </c>
      <c r="N7" s="27">
        <f t="shared" si="8"/>
        <v>4220.2294502912646</v>
      </c>
      <c r="O7" s="27">
        <f t="shared" si="9"/>
        <v>11000000</v>
      </c>
      <c r="Q7" s="27">
        <f t="shared" si="0"/>
        <v>42160.482388510245</v>
      </c>
      <c r="R7" s="27">
        <f t="shared" si="1"/>
        <v>1043.9646615174563</v>
      </c>
      <c r="S7" s="27">
        <f t="shared" si="2"/>
        <v>4216.0482388510245</v>
      </c>
      <c r="T7" s="27">
        <f t="shared" si="2"/>
        <v>5725.3219857957338</v>
      </c>
      <c r="U7" s="38">
        <v>0</v>
      </c>
      <c r="V7" s="27">
        <f t="shared" si="3"/>
        <v>2583.0328641699239</v>
      </c>
      <c r="W7" s="27">
        <f t="shared" si="10"/>
        <v>33758.18036651596</v>
      </c>
      <c r="Y7" s="27">
        <f>SUM($L$5:L6)*($B$5-D7+1)/$B$5*105%</f>
        <v>82716.497225708779</v>
      </c>
      <c r="Z7" s="27">
        <f t="shared" si="4"/>
        <v>5790.1548057996151</v>
      </c>
      <c r="AB7" s="27">
        <f t="shared" si="11"/>
        <v>2621.3274822670101</v>
      </c>
      <c r="AC7" s="35">
        <f t="shared" si="12"/>
        <v>0.65751623243198831</v>
      </c>
    </row>
    <row r="8" spans="1:33" x14ac:dyDescent="0.35">
      <c r="A8" s="33" t="s">
        <v>60</v>
      </c>
      <c r="B8" s="38">
        <v>42202.294502912642</v>
      </c>
      <c r="D8" s="27">
        <f t="shared" si="13"/>
        <v>4</v>
      </c>
      <c r="E8" s="27">
        <f t="shared" si="13"/>
        <v>33</v>
      </c>
      <c r="G8" s="34">
        <f>VLOOKUP(E8,'Q.2 Data'!$A$4:$B$67,2,0)</f>
        <v>5.4299999999999997E-4</v>
      </c>
      <c r="H8" s="34">
        <f t="shared" si="14"/>
        <v>0.99848876165435951</v>
      </c>
      <c r="I8" s="34">
        <f t="shared" si="5"/>
        <v>5.4217939757831722E-4</v>
      </c>
      <c r="J8" s="34">
        <f t="shared" si="6"/>
        <v>0.99794658225678123</v>
      </c>
      <c r="L8" s="38">
        <f t="shared" si="7"/>
        <v>42202.294502912642</v>
      </c>
      <c r="M8" s="27">
        <f t="shared" si="15"/>
        <v>1092.0249999999999</v>
      </c>
      <c r="N8" s="27">
        <f t="shared" si="8"/>
        <v>4220.2294502912646</v>
      </c>
      <c r="O8" s="27">
        <f t="shared" si="9"/>
        <v>11500000</v>
      </c>
      <c r="Q8" s="27">
        <f t="shared" si="0"/>
        <v>42138.516777185825</v>
      </c>
      <c r="R8" s="27">
        <f t="shared" si="1"/>
        <v>1090.3746899456019</v>
      </c>
      <c r="S8" s="27">
        <f t="shared" si="2"/>
        <v>4213.8516777185832</v>
      </c>
      <c r="T8" s="27">
        <f t="shared" si="2"/>
        <v>6235.0630721506477</v>
      </c>
      <c r="U8" s="38">
        <v>0</v>
      </c>
      <c r="V8" s="27">
        <f t="shared" si="3"/>
        <v>2578.4003286665147</v>
      </c>
      <c r="W8" s="27">
        <f t="shared" si="10"/>
        <v>33177.627666037508</v>
      </c>
      <c r="Y8" s="27">
        <f>SUM($L$5:L7)*($B$5-D8+1)/$B$5*105%</f>
        <v>119643.50491575734</v>
      </c>
      <c r="Z8" s="27">
        <f t="shared" si="4"/>
        <v>8375.0453441030149</v>
      </c>
      <c r="AB8" s="27">
        <f t="shared" si="11"/>
        <v>7579.825935295823</v>
      </c>
      <c r="AC8" s="35">
        <f t="shared" si="12"/>
        <v>0.57175324559303342</v>
      </c>
      <c r="AE8" s="27" t="s">
        <v>61</v>
      </c>
      <c r="AF8" s="37">
        <f>AF5/AF6</f>
        <v>0.20801247950874444</v>
      </c>
    </row>
    <row r="9" spans="1:33" x14ac:dyDescent="0.35">
      <c r="A9" s="33" t="s">
        <v>28</v>
      </c>
      <c r="B9" s="27">
        <v>30</v>
      </c>
      <c r="D9" s="27">
        <f t="shared" si="13"/>
        <v>5</v>
      </c>
      <c r="E9" s="27">
        <f t="shared" si="13"/>
        <v>34</v>
      </c>
      <c r="G9" s="34">
        <f>VLOOKUP(E9,'Q.2 Data'!$A$4:$B$67,2,0)</f>
        <v>5.6999999999999998E-4</v>
      </c>
      <c r="H9" s="34">
        <f t="shared" si="14"/>
        <v>0.99794658225678123</v>
      </c>
      <c r="I9" s="34">
        <f t="shared" si="5"/>
        <v>5.6882955188636525E-4</v>
      </c>
      <c r="J9" s="34">
        <f t="shared" si="6"/>
        <v>0.99737775270489482</v>
      </c>
      <c r="L9" s="38">
        <f t="shared" si="7"/>
        <v>42202.294502912642</v>
      </c>
      <c r="M9" s="27">
        <f t="shared" si="15"/>
        <v>1141.1661249999997</v>
      </c>
      <c r="N9" s="27">
        <f t="shared" si="8"/>
        <v>4220.2294502912646</v>
      </c>
      <c r="O9" s="27">
        <f t="shared" si="9"/>
        <v>12000000</v>
      </c>
      <c r="Q9" s="27">
        <f t="shared" si="0"/>
        <v>42115.635562575815</v>
      </c>
      <c r="R9" s="27">
        <f t="shared" si="1"/>
        <v>1138.8228342309646</v>
      </c>
      <c r="S9" s="27">
        <f t="shared" si="2"/>
        <v>4211.5635562575817</v>
      </c>
      <c r="T9" s="27">
        <f t="shared" si="2"/>
        <v>6825.9546226363827</v>
      </c>
      <c r="U9" s="38">
        <v>0</v>
      </c>
      <c r="V9" s="27">
        <f t="shared" si="3"/>
        <v>2573.5674420461087</v>
      </c>
      <c r="W9" s="27">
        <f t="shared" si="10"/>
        <v>32512.86199149699</v>
      </c>
      <c r="Y9" s="27">
        <f>SUM($L$5:L8)*($B$5-D9+1)/$B$5*105%</f>
        <v>153616.35199060204</v>
      </c>
      <c r="Z9" s="27">
        <f t="shared" si="4"/>
        <v>10753.144639342143</v>
      </c>
      <c r="AB9" s="27">
        <f t="shared" si="11"/>
        <v>12247.320171198367</v>
      </c>
      <c r="AC9" s="35">
        <f t="shared" si="12"/>
        <v>0.49717673529828987</v>
      </c>
      <c r="AF9" s="37">
        <f>'Q.2 (i)'!AF8-'Q.2 (ii)'!AF8</f>
        <v>-6.5402307525830317E-6</v>
      </c>
    </row>
    <row r="10" spans="1:33" x14ac:dyDescent="0.35">
      <c r="A10" s="33" t="s">
        <v>62</v>
      </c>
      <c r="B10" s="27">
        <v>2000</v>
      </c>
      <c r="D10" s="27">
        <f t="shared" si="13"/>
        <v>6</v>
      </c>
      <c r="E10" s="27">
        <f t="shared" si="13"/>
        <v>35</v>
      </c>
      <c r="G10" s="34">
        <f>VLOOKUP(E10,'Q.2 Data'!$A$4:$B$67,2,0)</f>
        <v>6.0099999999999997E-4</v>
      </c>
      <c r="H10" s="34">
        <f t="shared" si="14"/>
        <v>0.99737775270489482</v>
      </c>
      <c r="I10" s="34">
        <f t="shared" si="5"/>
        <v>5.9942402937564177E-4</v>
      </c>
      <c r="J10" s="34">
        <f t="shared" si="6"/>
        <v>0.99677832867551919</v>
      </c>
      <c r="L10" s="38">
        <f t="shared" si="7"/>
        <v>42202.294502912642</v>
      </c>
      <c r="M10" s="27">
        <f t="shared" si="15"/>
        <v>1192.5186006249994</v>
      </c>
      <c r="N10" s="27">
        <f t="shared" si="8"/>
        <v>4220.2294502912646</v>
      </c>
      <c r="O10" s="27">
        <f t="shared" si="9"/>
        <v>12500000</v>
      </c>
      <c r="Q10" s="27">
        <f t="shared" si="0"/>
        <v>42091.629650305149</v>
      </c>
      <c r="R10" s="27">
        <f t="shared" si="1"/>
        <v>1189.391521950148</v>
      </c>
      <c r="S10" s="27">
        <f t="shared" si="2"/>
        <v>4209.1629650305149</v>
      </c>
      <c r="T10" s="27">
        <f t="shared" si="2"/>
        <v>7492.8003671955221</v>
      </c>
      <c r="U10" s="38">
        <v>0</v>
      </c>
      <c r="V10" s="27">
        <f t="shared" si="3"/>
        <v>2568.5152614327139</v>
      </c>
      <c r="W10" s="27">
        <f t="shared" si="10"/>
        <v>31768.79005756167</v>
      </c>
      <c r="Y10" s="27">
        <f>SUM($L$5:L9)*($B$5-D10+1)/$B$5*105%</f>
        <v>184635.03845024281</v>
      </c>
      <c r="Z10" s="27">
        <f t="shared" si="4"/>
        <v>12924.452691516997</v>
      </c>
      <c r="AB10" s="27">
        <f t="shared" si="11"/>
        <v>16628.716904641755</v>
      </c>
      <c r="AC10" s="35">
        <f t="shared" si="12"/>
        <v>0.43232759591155645</v>
      </c>
    </row>
    <row r="11" spans="1:33" x14ac:dyDescent="0.35">
      <c r="A11" s="33" t="s">
        <v>63</v>
      </c>
      <c r="B11" s="27">
        <v>1000</v>
      </c>
      <c r="D11" s="27">
        <f t="shared" si="13"/>
        <v>7</v>
      </c>
      <c r="E11" s="27">
        <f t="shared" si="13"/>
        <v>36</v>
      </c>
      <c r="G11" s="34">
        <f>VLOOKUP(E11,'Q.2 Data'!$A$4:$B$67,2,0)</f>
        <v>6.3750000000000005E-4</v>
      </c>
      <c r="H11" s="34">
        <f t="shared" si="14"/>
        <v>0.99677832867551919</v>
      </c>
      <c r="I11" s="34">
        <f t="shared" si="5"/>
        <v>6.3544618453064349E-4</v>
      </c>
      <c r="J11" s="34">
        <f t="shared" si="6"/>
        <v>0.99614288249098859</v>
      </c>
      <c r="L11" s="38">
        <f t="shared" si="7"/>
        <v>42202.294502912642</v>
      </c>
      <c r="M11" s="27">
        <f t="shared" si="15"/>
        <v>1246.1819376531244</v>
      </c>
      <c r="N11" s="27">
        <f t="shared" si="8"/>
        <v>4220.2294502912646</v>
      </c>
      <c r="O11" s="27">
        <f t="shared" si="9"/>
        <v>13000000</v>
      </c>
      <c r="Q11" s="27">
        <f t="shared" si="0"/>
        <v>42066.332580885311</v>
      </c>
      <c r="R11" s="27">
        <f t="shared" si="1"/>
        <v>1242.1671490395013</v>
      </c>
      <c r="S11" s="27">
        <f t="shared" si="2"/>
        <v>4206.6332580885319</v>
      </c>
      <c r="T11" s="27">
        <f t="shared" si="2"/>
        <v>8260.8003988983655</v>
      </c>
      <c r="U11" s="38">
        <v>0</v>
      </c>
      <c r="V11" s="27">
        <f t="shared" si="3"/>
        <v>2563.2272521630098</v>
      </c>
      <c r="W11" s="27">
        <f t="shared" si="10"/>
        <v>30919.959027021927</v>
      </c>
      <c r="Y11" s="27">
        <f>SUM($L$5:L10)*($B$5-D11+1)/$B$5*105%</f>
        <v>212699.56429467973</v>
      </c>
      <c r="Z11" s="27">
        <f t="shared" si="4"/>
        <v>14888.969500627583</v>
      </c>
      <c r="AB11" s="27">
        <f t="shared" si="11"/>
        <v>20698.563298416509</v>
      </c>
      <c r="AC11" s="35">
        <f t="shared" si="12"/>
        <v>0.37593703992309269</v>
      </c>
      <c r="AE11" s="27" t="s">
        <v>60</v>
      </c>
      <c r="AF11" s="39">
        <f>B8</f>
        <v>42202.294502912642</v>
      </c>
    </row>
    <row r="12" spans="1:33" x14ac:dyDescent="0.35">
      <c r="A12" s="33" t="s">
        <v>64</v>
      </c>
      <c r="B12" s="36">
        <f>4.5%</f>
        <v>4.4999999999999998E-2</v>
      </c>
      <c r="D12" s="27">
        <f t="shared" si="13"/>
        <v>8</v>
      </c>
      <c r="E12" s="27">
        <f t="shared" si="13"/>
        <v>37</v>
      </c>
      <c r="G12" s="34">
        <f>VLOOKUP(E12,'Q.2 Data'!$A$4:$B$67,2,0)</f>
        <v>6.7900000000000002E-4</v>
      </c>
      <c r="H12" s="34">
        <f t="shared" si="14"/>
        <v>0.99614288249098859</v>
      </c>
      <c r="I12" s="34">
        <f t="shared" si="5"/>
        <v>6.7638101721138129E-4</v>
      </c>
      <c r="J12" s="34">
        <f t="shared" si="6"/>
        <v>0.99546650147377724</v>
      </c>
      <c r="L12" s="38">
        <f t="shared" si="7"/>
        <v>42202.294502912642</v>
      </c>
      <c r="M12" s="27">
        <f t="shared" si="15"/>
        <v>1302.2601248475148</v>
      </c>
      <c r="N12" s="27">
        <f t="shared" si="8"/>
        <v>4220.2294502912646</v>
      </c>
      <c r="O12" s="27">
        <f t="shared" si="9"/>
        <v>13500000</v>
      </c>
      <c r="Q12" s="27">
        <f t="shared" si="0"/>
        <v>42039.515293864999</v>
      </c>
      <c r="R12" s="27">
        <f t="shared" si="1"/>
        <v>1297.2371545186782</v>
      </c>
      <c r="S12" s="27">
        <f t="shared" si="2"/>
        <v>4203.9515293865006</v>
      </c>
      <c r="T12" s="27">
        <f t="shared" si="2"/>
        <v>9131.1437323536466</v>
      </c>
      <c r="U12" s="38">
        <v>0</v>
      </c>
      <c r="V12" s="27">
        <f t="shared" si="3"/>
        <v>2557.6828626971878</v>
      </c>
      <c r="W12" s="27">
        <f t="shared" si="10"/>
        <v>29964.865740303369</v>
      </c>
      <c r="Y12" s="27">
        <f>SUM($L$5:L11)*($B$5-D12+1)/$B$5*105%</f>
        <v>237809.92952391272</v>
      </c>
      <c r="Z12" s="27">
        <f t="shared" si="4"/>
        <v>16646.695066673892</v>
      </c>
      <c r="AB12" s="27">
        <f t="shared" si="11"/>
        <v>24455.356192948107</v>
      </c>
      <c r="AC12" s="35">
        <f t="shared" si="12"/>
        <v>0.32690177384616753</v>
      </c>
      <c r="AE12" s="27" t="s">
        <v>69</v>
      </c>
    </row>
    <row r="13" spans="1:33" x14ac:dyDescent="0.35">
      <c r="A13" s="33" t="s">
        <v>65</v>
      </c>
      <c r="B13" s="36">
        <v>0.3</v>
      </c>
      <c r="D13" s="27">
        <f t="shared" si="13"/>
        <v>9</v>
      </c>
      <c r="E13" s="27">
        <f t="shared" si="13"/>
        <v>38</v>
      </c>
      <c r="G13" s="34">
        <f>VLOOKUP(E13,'Q.2 Data'!$A$4:$B$67,2,0)</f>
        <v>7.2650000000000004E-4</v>
      </c>
      <c r="H13" s="34">
        <f t="shared" si="14"/>
        <v>0.99546650147377724</v>
      </c>
      <c r="I13" s="34">
        <f t="shared" si="5"/>
        <v>7.2320641332069917E-4</v>
      </c>
      <c r="J13" s="34">
        <f t="shared" si="6"/>
        <v>0.99474329506045656</v>
      </c>
      <c r="L13" s="38">
        <f t="shared" si="7"/>
        <v>42202.294502912642</v>
      </c>
      <c r="M13" s="27">
        <f t="shared" si="15"/>
        <v>1360.8618304656529</v>
      </c>
      <c r="N13" s="27">
        <f t="shared" si="8"/>
        <v>4220.2294502912646</v>
      </c>
      <c r="O13" s="27">
        <f t="shared" si="9"/>
        <v>14000000</v>
      </c>
      <c r="Q13" s="27">
        <f t="shared" si="0"/>
        <v>42010.970462980469</v>
      </c>
      <c r="R13" s="27">
        <f t="shared" si="1"/>
        <v>1354.6923653628442</v>
      </c>
      <c r="S13" s="27">
        <f t="shared" si="2"/>
        <v>4201.0970462980476</v>
      </c>
      <c r="T13" s="27">
        <f t="shared" si="2"/>
        <v>10124.889786489788</v>
      </c>
      <c r="U13" s="38">
        <v>0</v>
      </c>
      <c r="V13" s="27">
        <f t="shared" si="3"/>
        <v>2551.8626735923704</v>
      </c>
      <c r="W13" s="27">
        <f t="shared" si="10"/>
        <v>28882.153938422158</v>
      </c>
      <c r="Y13" s="27">
        <f>SUM($L$5:L12)*($B$5-D13+1)/$B$5*105%</f>
        <v>259966.13413794187</v>
      </c>
      <c r="Z13" s="27">
        <f t="shared" si="4"/>
        <v>18197.629389655933</v>
      </c>
      <c r="AB13" s="27">
        <f t="shared" si="11"/>
        <v>27877.739329252785</v>
      </c>
      <c r="AC13" s="35">
        <f t="shared" si="12"/>
        <v>0.28426241204014574</v>
      </c>
    </row>
    <row r="14" spans="1:33" x14ac:dyDescent="0.35">
      <c r="A14" s="33" t="s">
        <v>66</v>
      </c>
      <c r="B14" s="36">
        <v>0.1</v>
      </c>
      <c r="D14" s="27">
        <f t="shared" si="13"/>
        <v>10</v>
      </c>
      <c r="E14" s="27">
        <f t="shared" si="13"/>
        <v>39</v>
      </c>
      <c r="G14" s="34">
        <f>VLOOKUP(E14,'Q.2 Data'!$A$4:$B$67,2,0)</f>
        <v>7.7999999999999999E-4</v>
      </c>
      <c r="H14" s="34">
        <f t="shared" si="14"/>
        <v>0.99474329506045656</v>
      </c>
      <c r="I14" s="34">
        <f t="shared" si="5"/>
        <v>7.7589977014715615E-4</v>
      </c>
      <c r="J14" s="34">
        <f t="shared" si="6"/>
        <v>0.99396739529030942</v>
      </c>
      <c r="L14" s="38">
        <f t="shared" si="7"/>
        <v>42202.294502912642</v>
      </c>
      <c r="M14" s="27">
        <f t="shared" si="15"/>
        <v>1422.1006128366068</v>
      </c>
      <c r="N14" s="27">
        <f t="shared" si="8"/>
        <v>4220.2294502912646</v>
      </c>
      <c r="O14" s="27">
        <f t="shared" si="9"/>
        <v>14500000</v>
      </c>
      <c r="Q14" s="27">
        <f t="shared" si="0"/>
        <v>41980.449492939115</v>
      </c>
      <c r="R14" s="27">
        <f t="shared" si="1"/>
        <v>1414.6250495205809</v>
      </c>
      <c r="S14" s="27">
        <f t="shared" si="2"/>
        <v>4198.0449492939115</v>
      </c>
      <c r="T14" s="27">
        <f t="shared" si="2"/>
        <v>11250.546667133764</v>
      </c>
      <c r="U14" s="38">
        <v>0</v>
      </c>
      <c r="V14" s="27">
        <f t="shared" si="3"/>
        <v>2545.7445645887242</v>
      </c>
      <c r="W14" s="27">
        <f t="shared" si="10"/>
        <v>27662.977391579585</v>
      </c>
      <c r="Y14" s="27">
        <f>SUM($L$5:L13)*($B$5-D14+1)/$B$5*105%</f>
        <v>279168.17813676718</v>
      </c>
      <c r="Z14" s="27">
        <f t="shared" si="4"/>
        <v>19541.772469573705</v>
      </c>
      <c r="AB14" s="27">
        <f t="shared" si="11"/>
        <v>30956.86647753189</v>
      </c>
      <c r="AC14" s="35">
        <f t="shared" si="12"/>
        <v>0.24718470612186585</v>
      </c>
    </row>
    <row r="15" spans="1:33" x14ac:dyDescent="0.35">
      <c r="A15" s="33" t="s">
        <v>67</v>
      </c>
      <c r="B15" s="36">
        <v>7.0000000000000007E-2</v>
      </c>
      <c r="D15" s="27">
        <f t="shared" si="13"/>
        <v>11</v>
      </c>
      <c r="E15" s="27">
        <f t="shared" si="13"/>
        <v>40</v>
      </c>
      <c r="G15" s="34">
        <f>VLOOKUP(E15,'Q.2 Data'!$A$4:$B$67,2,0)</f>
        <v>8.4000000000000003E-4</v>
      </c>
      <c r="H15" s="34">
        <f t="shared" si="14"/>
        <v>0.99396739529030942</v>
      </c>
      <c r="I15" s="34">
        <f t="shared" si="5"/>
        <v>8.3493261204385996E-4</v>
      </c>
      <c r="J15" s="34">
        <f t="shared" si="6"/>
        <v>0.9931324626782656</v>
      </c>
      <c r="L15" s="38">
        <f t="shared" si="7"/>
        <v>42202.294502912642</v>
      </c>
      <c r="M15" s="27">
        <f t="shared" si="15"/>
        <v>1486.0951404142543</v>
      </c>
      <c r="N15" s="27">
        <f t="shared" si="8"/>
        <v>4220.2294502912646</v>
      </c>
      <c r="O15" s="27">
        <f t="shared" si="9"/>
        <v>15000000</v>
      </c>
      <c r="Q15" s="27">
        <f t="shared" si="0"/>
        <v>41947.704742334623</v>
      </c>
      <c r="R15" s="27">
        <f t="shared" si="1"/>
        <v>1477.1301158711431</v>
      </c>
      <c r="S15" s="27">
        <f t="shared" si="2"/>
        <v>4194.7704742334627</v>
      </c>
      <c r="T15" s="27">
        <f t="shared" si="2"/>
        <v>12523.9891806579</v>
      </c>
      <c r="U15" s="38">
        <v>0</v>
      </c>
      <c r="V15" s="27">
        <f t="shared" si="3"/>
        <v>2539.3062906561017</v>
      </c>
      <c r="W15" s="27">
        <f t="shared" si="10"/>
        <v>26291.121262228222</v>
      </c>
      <c r="Y15" s="27">
        <f>SUM($L$5:L14)*($B$5-D15+1)/$B$5*105%</f>
        <v>295416.06152038858</v>
      </c>
      <c r="Z15" s="27">
        <f t="shared" si="4"/>
        <v>20679.124306427202</v>
      </c>
      <c r="AB15" s="27">
        <f t="shared" si="11"/>
        <v>33676.522800237974</v>
      </c>
      <c r="AC15" s="35">
        <f t="shared" si="12"/>
        <v>0.21494322271466598</v>
      </c>
    </row>
    <row r="16" spans="1:33" x14ac:dyDescent="0.35">
      <c r="A16" s="33" t="s">
        <v>68</v>
      </c>
      <c r="B16" s="36">
        <v>0.15</v>
      </c>
      <c r="D16" s="27">
        <f t="shared" si="13"/>
        <v>12</v>
      </c>
      <c r="E16" s="27">
        <f t="shared" si="13"/>
        <v>41</v>
      </c>
      <c r="G16" s="34">
        <f>VLOOKUP(E16,'Q.2 Data'!$A$4:$B$67,2,0)</f>
        <v>9.075E-4</v>
      </c>
      <c r="H16" s="34">
        <f t="shared" si="14"/>
        <v>0.9931324626782656</v>
      </c>
      <c r="I16" s="34">
        <f t="shared" si="5"/>
        <v>9.0126770988052608E-4</v>
      </c>
      <c r="J16" s="34">
        <f t="shared" si="6"/>
        <v>0.99223119496838508</v>
      </c>
      <c r="L16" s="38">
        <f t="shared" si="7"/>
        <v>42202.294502912642</v>
      </c>
      <c r="M16" s="27">
        <f t="shared" si="15"/>
        <v>1552.9694217328954</v>
      </c>
      <c r="N16" s="27">
        <f t="shared" si="8"/>
        <v>4220.2294502912646</v>
      </c>
      <c r="O16" s="27">
        <f t="shared" si="9"/>
        <v>15500000</v>
      </c>
      <c r="Q16" s="27">
        <f t="shared" si="0"/>
        <v>41912.46867035106</v>
      </c>
      <c r="R16" s="27">
        <f t="shared" si="1"/>
        <v>1542.3043462696326</v>
      </c>
      <c r="S16" s="27">
        <f t="shared" si="2"/>
        <v>4191.2468670351063</v>
      </c>
      <c r="T16" s="27">
        <f t="shared" si="2"/>
        <v>13969.649503148154</v>
      </c>
      <c r="U16" s="38">
        <v>0</v>
      </c>
      <c r="V16" s="27">
        <f t="shared" si="3"/>
        <v>2532.5242219932429</v>
      </c>
      <c r="W16" s="27">
        <f t="shared" si="10"/>
        <v>24741.792175891413</v>
      </c>
      <c r="Y16" s="27">
        <f>SUM($L$5:L15)*($B$5-D16+1)/$B$5*105%</f>
        <v>308709.78428880603</v>
      </c>
      <c r="Z16" s="27">
        <f t="shared" si="4"/>
        <v>21609.684900216424</v>
      </c>
      <c r="AB16" s="27">
        <f t="shared" si="11"/>
        <v>36011.914922894175</v>
      </c>
      <c r="AC16" s="35">
        <f t="shared" si="12"/>
        <v>0.18690715018666609</v>
      </c>
    </row>
    <row r="17" spans="4:29" x14ac:dyDescent="0.35">
      <c r="D17" s="27">
        <f t="shared" si="13"/>
        <v>13</v>
      </c>
      <c r="E17" s="27">
        <f t="shared" si="13"/>
        <v>42</v>
      </c>
      <c r="G17" s="34">
        <f>VLOOKUP(E17,'Q.2 Data'!$A$4:$B$67,2,0)</f>
        <v>9.8449999999999992E-4</v>
      </c>
      <c r="H17" s="34">
        <f t="shared" si="14"/>
        <v>0.99223119496838508</v>
      </c>
      <c r="I17" s="34">
        <f t="shared" si="5"/>
        <v>9.7685161144637502E-4</v>
      </c>
      <c r="J17" s="34">
        <f t="shared" si="6"/>
        <v>0.99125434335693874</v>
      </c>
      <c r="L17" s="38">
        <f t="shared" si="7"/>
        <v>42202.294502912642</v>
      </c>
      <c r="M17" s="27">
        <f t="shared" si="15"/>
        <v>1622.8530457108757</v>
      </c>
      <c r="N17" s="27">
        <f t="shared" si="8"/>
        <v>4220.2294502912646</v>
      </c>
      <c r="O17" s="27">
        <f t="shared" si="9"/>
        <v>16000000</v>
      </c>
      <c r="Q17" s="27">
        <f t="shared" si="0"/>
        <v>41874.433105032716</v>
      </c>
      <c r="R17" s="27">
        <f t="shared" si="1"/>
        <v>1610.2454168037855</v>
      </c>
      <c r="S17" s="27">
        <f t="shared" si="2"/>
        <v>4187.4433105032722</v>
      </c>
      <c r="T17" s="27">
        <f t="shared" si="2"/>
        <v>15629.625783142001</v>
      </c>
      <c r="U17" s="38">
        <v>0</v>
      </c>
      <c r="V17" s="27">
        <f t="shared" si="3"/>
        <v>2525.372106440796</v>
      </c>
      <c r="W17" s="27">
        <f t="shared" si="10"/>
        <v>22972.49070102445</v>
      </c>
      <c r="Y17" s="27">
        <f>SUM($L$5:L16)*($B$5-D17+1)/$B$5*105%</f>
        <v>319049.34644201968</v>
      </c>
      <c r="Z17" s="27">
        <f t="shared" si="4"/>
        <v>22333.45425094138</v>
      </c>
      <c r="AB17" s="27">
        <f t="shared" si="11"/>
        <v>37920.543413956082</v>
      </c>
      <c r="AC17" s="35">
        <f t="shared" si="12"/>
        <v>0.16252795668405748</v>
      </c>
    </row>
    <row r="18" spans="4:29" x14ac:dyDescent="0.35">
      <c r="D18" s="27">
        <f t="shared" si="13"/>
        <v>14</v>
      </c>
      <c r="E18" s="27">
        <f t="shared" si="13"/>
        <v>43</v>
      </c>
      <c r="G18" s="34">
        <f>VLOOKUP(E18,'Q.2 Data'!$A$4:$B$67,2,0)</f>
        <v>1.072E-3</v>
      </c>
      <c r="H18" s="34">
        <f t="shared" si="14"/>
        <v>0.99125434335693874</v>
      </c>
      <c r="I18" s="34">
        <f t="shared" si="5"/>
        <v>1.0626246560786383E-3</v>
      </c>
      <c r="J18" s="34">
        <f t="shared" si="6"/>
        <v>0.99019171870086009</v>
      </c>
      <c r="L18" s="38">
        <f t="shared" si="7"/>
        <v>42202.294502912642</v>
      </c>
      <c r="M18" s="27">
        <f t="shared" si="15"/>
        <v>1695.8814327678647</v>
      </c>
      <c r="N18" s="27">
        <f t="shared" si="8"/>
        <v>4220.2294502912646</v>
      </c>
      <c r="O18" s="27">
        <f t="shared" si="9"/>
        <v>16500000</v>
      </c>
      <c r="Q18" s="27">
        <f t="shared" si="0"/>
        <v>41833.207725640816</v>
      </c>
      <c r="R18" s="27">
        <f t="shared" si="1"/>
        <v>1681.0498360495342</v>
      </c>
      <c r="S18" s="27">
        <f t="shared" si="2"/>
        <v>4183.3207725640823</v>
      </c>
      <c r="T18" s="27">
        <f t="shared" si="2"/>
        <v>17533.306825297532</v>
      </c>
      <c r="U18" s="38">
        <v>0</v>
      </c>
      <c r="V18" s="27">
        <f t="shared" si="3"/>
        <v>2517.8185981919041</v>
      </c>
      <c r="W18" s="27">
        <f t="shared" si="10"/>
        <v>20953.348889921574</v>
      </c>
      <c r="Y18" s="27">
        <f>SUM($L$5:L17)*($B$5-D18+1)/$B$5*105%</f>
        <v>326434.74798002944</v>
      </c>
      <c r="Z18" s="27">
        <f t="shared" si="4"/>
        <v>22850.432358602062</v>
      </c>
      <c r="AB18" s="27">
        <f t="shared" si="11"/>
        <v>39372.54032571784</v>
      </c>
      <c r="AC18" s="35">
        <f t="shared" si="12"/>
        <v>0.14132865798613695</v>
      </c>
    </row>
    <row r="19" spans="4:29" x14ac:dyDescent="0.35">
      <c r="D19" s="27">
        <f t="shared" si="13"/>
        <v>15</v>
      </c>
      <c r="E19" s="27">
        <f t="shared" si="13"/>
        <v>44</v>
      </c>
      <c r="G19" s="34">
        <f>VLOOKUP(E19,'Q.2 Data'!$A$4:$B$67,2,0)</f>
        <v>1.1724999999999999E-3</v>
      </c>
      <c r="H19" s="34">
        <f t="shared" si="14"/>
        <v>0.99019171870086009</v>
      </c>
      <c r="I19" s="34">
        <f t="shared" si="5"/>
        <v>1.1609997901767585E-3</v>
      </c>
      <c r="J19" s="34">
        <f t="shared" si="6"/>
        <v>0.98903071891068328</v>
      </c>
      <c r="L19" s="38">
        <f t="shared" si="7"/>
        <v>42202.294502912642</v>
      </c>
      <c r="M19" s="27">
        <f t="shared" si="15"/>
        <v>1772.1960972424188</v>
      </c>
      <c r="N19" s="27">
        <f t="shared" si="8"/>
        <v>4220.2294502912646</v>
      </c>
      <c r="O19" s="27">
        <f t="shared" si="9"/>
        <v>17000000</v>
      </c>
      <c r="Q19" s="27">
        <f t="shared" si="0"/>
        <v>41788.362526958932</v>
      </c>
      <c r="R19" s="27">
        <f t="shared" si="1"/>
        <v>1754.8138994034273</v>
      </c>
      <c r="S19" s="27">
        <f t="shared" si="2"/>
        <v>4178.8362526958936</v>
      </c>
      <c r="T19" s="27">
        <f t="shared" si="2"/>
        <v>19736.996433004893</v>
      </c>
      <c r="U19" s="38">
        <v>0</v>
      </c>
      <c r="V19" s="27">
        <f t="shared" si="3"/>
        <v>2509.8298662401726</v>
      </c>
      <c r="W19" s="27">
        <f t="shared" si="10"/>
        <v>18627.545808094885</v>
      </c>
      <c r="Y19" s="27">
        <f>SUM($L$5:L18)*($B$5-D19+1)/$B$5*105%</f>
        <v>330865.98890283523</v>
      </c>
      <c r="Z19" s="27">
        <f t="shared" si="4"/>
        <v>23160.619223198468</v>
      </c>
      <c r="AB19" s="27">
        <f t="shared" si="11"/>
        <v>40311.084723691405</v>
      </c>
      <c r="AC19" s="35">
        <f t="shared" si="12"/>
        <v>0.1228944852053365</v>
      </c>
    </row>
    <row r="20" spans="4:29" x14ac:dyDescent="0.35">
      <c r="D20" s="27">
        <f t="shared" si="13"/>
        <v>16</v>
      </c>
      <c r="E20" s="27">
        <f t="shared" si="13"/>
        <v>45</v>
      </c>
      <c r="G20" s="34">
        <f>VLOOKUP(E20,'Q.2 Data'!$A$4:$B$67,2,0)</f>
        <v>1.2895000000000001E-3</v>
      </c>
      <c r="H20" s="34">
        <f t="shared" si="14"/>
        <v>0.98903071891068328</v>
      </c>
      <c r="I20" s="34">
        <f t="shared" si="5"/>
        <v>1.2753551120353263E-3</v>
      </c>
      <c r="J20" s="34">
        <f t="shared" si="6"/>
        <v>0.98775536379864792</v>
      </c>
      <c r="L20" s="38">
        <f t="shared" si="7"/>
        <v>42202.294502912642</v>
      </c>
      <c r="M20" s="27">
        <f t="shared" si="15"/>
        <v>1851.944921618327</v>
      </c>
      <c r="N20" s="27">
        <f t="shared" si="8"/>
        <v>4220.2294502912646</v>
      </c>
      <c r="O20" s="27">
        <f t="shared" si="9"/>
        <v>17500000</v>
      </c>
      <c r="Q20" s="27">
        <f t="shared" si="0"/>
        <v>41739.36567189607</v>
      </c>
      <c r="R20" s="27">
        <f t="shared" si="1"/>
        <v>1831.6304172111629</v>
      </c>
      <c r="S20" s="27">
        <f t="shared" si="2"/>
        <v>4173.9365671896076</v>
      </c>
      <c r="T20" s="27">
        <f t="shared" si="2"/>
        <v>22318.714460618208</v>
      </c>
      <c r="U20" s="38">
        <v>0</v>
      </c>
      <c r="V20" s="27">
        <f t="shared" si="3"/>
        <v>2501.365908124671</v>
      </c>
      <c r="W20" s="27">
        <f t="shared" si="10"/>
        <v>15916.450135001762</v>
      </c>
      <c r="Y20" s="27">
        <f>SUM($L$5:L19)*($B$5-D20+1)/$B$5*105%</f>
        <v>332343.06921043718</v>
      </c>
      <c r="Z20" s="27">
        <f t="shared" si="4"/>
        <v>23264.014844730606</v>
      </c>
      <c r="AB20" s="27">
        <f t="shared" si="11"/>
        <v>40657.545287334317</v>
      </c>
      <c r="AC20" s="35">
        <f t="shared" si="12"/>
        <v>0.10686476974377089</v>
      </c>
    </row>
    <row r="21" spans="4:29" x14ac:dyDescent="0.35">
      <c r="D21" s="27">
        <f t="shared" si="13"/>
        <v>17</v>
      </c>
      <c r="E21" s="27">
        <f t="shared" si="13"/>
        <v>46</v>
      </c>
      <c r="G21" s="34">
        <f>VLOOKUP(E21,'Q.2 Data'!$A$4:$B$67,2,0)</f>
        <v>1.4254999999999999E-3</v>
      </c>
      <c r="H21" s="34">
        <f t="shared" si="14"/>
        <v>0.98775536379864792</v>
      </c>
      <c r="I21" s="34">
        <f t="shared" si="5"/>
        <v>1.4080452710949726E-3</v>
      </c>
      <c r="J21" s="34">
        <f t="shared" si="6"/>
        <v>0.98634731852755297</v>
      </c>
      <c r="L21" s="38">
        <f t="shared" si="7"/>
        <v>42202.294502912642</v>
      </c>
      <c r="M21" s="27">
        <f t="shared" si="15"/>
        <v>1935.2824430911519</v>
      </c>
      <c r="N21" s="27">
        <f t="shared" si="8"/>
        <v>4220.2294502912646</v>
      </c>
      <c r="O21" s="27">
        <f t="shared" si="9"/>
        <v>18000000</v>
      </c>
      <c r="Q21" s="27">
        <f t="shared" si="0"/>
        <v>41685.542759862154</v>
      </c>
      <c r="R21" s="27">
        <f t="shared" si="1"/>
        <v>1911.5856136286368</v>
      </c>
      <c r="S21" s="27">
        <f t="shared" si="2"/>
        <v>4168.5542759862155</v>
      </c>
      <c r="T21" s="27">
        <f t="shared" si="2"/>
        <v>25344.814879709505</v>
      </c>
      <c r="U21" s="38">
        <v>0</v>
      </c>
      <c r="V21" s="27">
        <f t="shared" si="3"/>
        <v>2492.3782009173115</v>
      </c>
      <c r="W21" s="27">
        <f t="shared" si="10"/>
        <v>12752.966191455107</v>
      </c>
      <c r="Y21" s="27">
        <f>SUM($L$5:L20)*($B$5-D21+1)/$B$5*105%</f>
        <v>330865.98890283523</v>
      </c>
      <c r="Z21" s="27">
        <f t="shared" si="4"/>
        <v>23160.619223198468</v>
      </c>
      <c r="AB21" s="27">
        <f t="shared" si="11"/>
        <v>40344.826337459366</v>
      </c>
      <c r="AC21" s="35">
        <f t="shared" si="12"/>
        <v>9.2925886733713825E-2</v>
      </c>
    </row>
    <row r="22" spans="4:29" x14ac:dyDescent="0.35">
      <c r="D22" s="27">
        <f t="shared" si="13"/>
        <v>18</v>
      </c>
      <c r="E22" s="27">
        <f t="shared" si="13"/>
        <v>47</v>
      </c>
      <c r="G22" s="34">
        <f>VLOOKUP(E22,'Q.2 Data'!$A$4:$B$67,2,0)</f>
        <v>1.5839999999999999E-3</v>
      </c>
      <c r="H22" s="34">
        <f t="shared" si="14"/>
        <v>0.98634731852755297</v>
      </c>
      <c r="I22" s="34">
        <f t="shared" si="5"/>
        <v>1.5623741525476438E-3</v>
      </c>
      <c r="J22" s="34">
        <f t="shared" si="6"/>
        <v>0.9847849443750053</v>
      </c>
      <c r="L22" s="38">
        <f t="shared" si="7"/>
        <v>42202.294502912642</v>
      </c>
      <c r="M22" s="27">
        <f t="shared" si="15"/>
        <v>2022.3701530302528</v>
      </c>
      <c r="N22" s="27">
        <f t="shared" si="8"/>
        <v>4220.2294502912646</v>
      </c>
      <c r="O22" s="27">
        <f t="shared" si="9"/>
        <v>18500000</v>
      </c>
      <c r="Q22" s="27">
        <f t="shared" si="0"/>
        <v>41626.120018657974</v>
      </c>
      <c r="R22" s="27">
        <f t="shared" si="1"/>
        <v>1994.7593775115467</v>
      </c>
      <c r="S22" s="27">
        <f t="shared" si="2"/>
        <v>4162.6120018657975</v>
      </c>
      <c r="T22" s="27">
        <f t="shared" si="2"/>
        <v>28903.921822131411</v>
      </c>
      <c r="U22" s="38">
        <v>0</v>
      </c>
      <c r="V22" s="27">
        <f t="shared" si="3"/>
        <v>2482.8124047496444</v>
      </c>
      <c r="W22" s="27">
        <f t="shared" si="10"/>
        <v>9047.639221898864</v>
      </c>
      <c r="Y22" s="27">
        <f>SUM($L$5:L21)*($B$5-D22+1)/$B$5*105%</f>
        <v>326434.74798002944</v>
      </c>
      <c r="Z22" s="27">
        <f t="shared" si="4"/>
        <v>22850.432358602062</v>
      </c>
      <c r="AB22" s="27">
        <f t="shared" si="11"/>
        <v>39283.473118510621</v>
      </c>
      <c r="AC22" s="35">
        <f t="shared" si="12"/>
        <v>8.0805118898881603E-2</v>
      </c>
    </row>
    <row r="23" spans="4:29" x14ac:dyDescent="0.35">
      <c r="D23" s="27">
        <f t="shared" ref="D23:E34" si="16">D22+1</f>
        <v>19</v>
      </c>
      <c r="E23" s="27">
        <f t="shared" si="16"/>
        <v>48</v>
      </c>
      <c r="G23" s="34">
        <f>VLOOKUP(E23,'Q.2 Data'!$A$4:$B$67,2,0)</f>
        <v>1.768E-3</v>
      </c>
      <c r="H23" s="34">
        <f t="shared" si="14"/>
        <v>0.9847849443750053</v>
      </c>
      <c r="I23" s="34">
        <f t="shared" si="5"/>
        <v>1.7410997816550095E-3</v>
      </c>
      <c r="J23" s="34">
        <f t="shared" si="6"/>
        <v>0.98304384459335026</v>
      </c>
      <c r="L23" s="38">
        <f t="shared" si="7"/>
        <v>42202.294502912642</v>
      </c>
      <c r="M23" s="27">
        <f t="shared" si="15"/>
        <v>2113.3768099166145</v>
      </c>
      <c r="N23" s="27">
        <f t="shared" si="8"/>
        <v>4220.2294502912646</v>
      </c>
      <c r="O23" s="27">
        <f t="shared" si="9"/>
        <v>19000000</v>
      </c>
      <c r="Q23" s="27">
        <f t="shared" si="0"/>
        <v>41560.184244548422</v>
      </c>
      <c r="R23" s="27">
        <f t="shared" si="1"/>
        <v>2081.2216641971595</v>
      </c>
      <c r="S23" s="27">
        <f t="shared" si="2"/>
        <v>4156.0184244548418</v>
      </c>
      <c r="T23" s="27">
        <f t="shared" si="2"/>
        <v>33080.895851445181</v>
      </c>
      <c r="U23" s="38">
        <v>0</v>
      </c>
      <c r="V23" s="27">
        <f t="shared" si="3"/>
        <v>2472.6060909127496</v>
      </c>
      <c r="W23" s="27">
        <f t="shared" si="10"/>
        <v>4714.6543953639866</v>
      </c>
      <c r="Y23" s="27">
        <f>SUM($L$5:L22)*($B$5-D23+1)/$B$5*105%</f>
        <v>319049.34644201974</v>
      </c>
      <c r="Z23" s="27">
        <f t="shared" si="4"/>
        <v>22333.454250941384</v>
      </c>
      <c r="AB23" s="27">
        <f t="shared" si="11"/>
        <v>37387.670799518964</v>
      </c>
      <c r="AC23" s="35">
        <f t="shared" si="12"/>
        <v>7.0265320781636179E-2</v>
      </c>
    </row>
    <row r="24" spans="4:29" x14ac:dyDescent="0.35">
      <c r="D24" s="27">
        <f t="shared" si="16"/>
        <v>20</v>
      </c>
      <c r="E24" s="27">
        <f t="shared" si="16"/>
        <v>49</v>
      </c>
      <c r="G24" s="34">
        <f>VLOOKUP(E24,'Q.2 Data'!$A$4:$B$67,2,0)</f>
        <v>1.9789999999999999E-3</v>
      </c>
      <c r="H24" s="34">
        <f t="shared" si="14"/>
        <v>0.98304384459335026</v>
      </c>
      <c r="I24" s="34">
        <f t="shared" si="5"/>
        <v>1.9454437684502401E-3</v>
      </c>
      <c r="J24" s="34">
        <f t="shared" si="6"/>
        <v>0.98109840082489996</v>
      </c>
      <c r="L24" s="38">
        <f t="shared" si="7"/>
        <v>42202.294502912642</v>
      </c>
      <c r="M24" s="27">
        <f t="shared" si="15"/>
        <v>2208.4787663628617</v>
      </c>
      <c r="N24" s="27">
        <f t="shared" si="8"/>
        <v>4220.2294502912646</v>
      </c>
      <c r="O24" s="27">
        <f t="shared" si="9"/>
        <v>19500000</v>
      </c>
      <c r="Q24" s="27">
        <f t="shared" si="0"/>
        <v>41486.705838804053</v>
      </c>
      <c r="R24" s="27">
        <f t="shared" si="1"/>
        <v>2171.0314571881268</v>
      </c>
      <c r="S24" s="27">
        <f t="shared" si="2"/>
        <v>4148.6705838804055</v>
      </c>
      <c r="T24" s="27">
        <f t="shared" si="2"/>
        <v>37936.153484779679</v>
      </c>
      <c r="U24" s="38">
        <v>0</v>
      </c>
      <c r="V24" s="27">
        <f t="shared" si="3"/>
        <v>2461.690265841487</v>
      </c>
      <c r="W24" s="27">
        <f t="shared" si="10"/>
        <v>-307.45942120266818</v>
      </c>
      <c r="Y24" s="27">
        <f>SUM($L$5:L23)*($B$5-D24+1)/$B$5*105%</f>
        <v>308709.78428880614</v>
      </c>
      <c r="Z24" s="27">
        <f t="shared" si="4"/>
        <v>21609.684900216431</v>
      </c>
      <c r="AB24" s="27">
        <f t="shared" si="11"/>
        <v>34595.948247431261</v>
      </c>
      <c r="AC24" s="35">
        <f t="shared" si="12"/>
        <v>6.1100278940553199E-2</v>
      </c>
    </row>
    <row r="25" spans="4:29" x14ac:dyDescent="0.35">
      <c r="D25" s="27">
        <f t="shared" si="16"/>
        <v>21</v>
      </c>
      <c r="E25" s="27">
        <f t="shared" si="16"/>
        <v>50</v>
      </c>
      <c r="G25" s="34">
        <f>VLOOKUP(E25,'Q.2 Data'!$A$4:$B$67,2,0)</f>
        <v>2.2179999999999999E-3</v>
      </c>
      <c r="H25" s="34">
        <f t="shared" si="14"/>
        <v>0.98109840082489996</v>
      </c>
      <c r="I25" s="34">
        <f t="shared" si="5"/>
        <v>2.1760762530296279E-3</v>
      </c>
      <c r="J25" s="34">
        <f t="shared" si="6"/>
        <v>0.97892232457187034</v>
      </c>
      <c r="L25" s="38">
        <f t="shared" si="7"/>
        <v>42202.294502912642</v>
      </c>
      <c r="M25" s="27">
        <f t="shared" si="15"/>
        <v>2307.8603108491902</v>
      </c>
      <c r="N25" s="27">
        <f t="shared" si="8"/>
        <v>4220.2294502912646</v>
      </c>
      <c r="O25" s="27">
        <f t="shared" si="9"/>
        <v>20000000</v>
      </c>
      <c r="Q25" s="27">
        <f t="shared" si="0"/>
        <v>41404.603647949058</v>
      </c>
      <c r="R25" s="27">
        <f t="shared" si="1"/>
        <v>2264.2380603013971</v>
      </c>
      <c r="S25" s="27">
        <f t="shared" si="2"/>
        <v>4140.4603647949061</v>
      </c>
      <c r="T25" s="27">
        <f t="shared" si="2"/>
        <v>43521.525060592561</v>
      </c>
      <c r="U25" s="38">
        <v>0</v>
      </c>
      <c r="V25" s="27">
        <f t="shared" si="3"/>
        <v>2449.9933655996933</v>
      </c>
      <c r="W25" s="27">
        <f t="shared" si="10"/>
        <v>-6071.6264721401094</v>
      </c>
      <c r="Y25" s="27">
        <f>SUM($L$5:L24)*($B$5-D25+1)/$B$5*105%</f>
        <v>295416.06152038864</v>
      </c>
      <c r="Z25" s="27">
        <f t="shared" si="4"/>
        <v>20679.124306427206</v>
      </c>
      <c r="AB25" s="27">
        <f t="shared" si="11"/>
        <v>30855.381217908493</v>
      </c>
      <c r="AC25" s="35">
        <f t="shared" si="12"/>
        <v>5.3130677339611479E-2</v>
      </c>
    </row>
    <row r="26" spans="4:29" x14ac:dyDescent="0.35">
      <c r="D26" s="27">
        <f t="shared" si="16"/>
        <v>22</v>
      </c>
      <c r="E26" s="27">
        <f t="shared" si="16"/>
        <v>51</v>
      </c>
      <c r="G26" s="34">
        <f>VLOOKUP(E26,'Q.2 Data'!$A$4:$B$67,2,0)</f>
        <v>2.4845000000000002E-3</v>
      </c>
      <c r="H26" s="34">
        <f t="shared" si="14"/>
        <v>0.97892232457187034</v>
      </c>
      <c r="I26" s="34">
        <f t="shared" si="5"/>
        <v>2.4321325153988122E-3</v>
      </c>
      <c r="J26" s="34">
        <f t="shared" si="6"/>
        <v>0.97649019205647147</v>
      </c>
      <c r="L26" s="38">
        <f t="shared" si="7"/>
        <v>42202.294502912642</v>
      </c>
      <c r="M26" s="27">
        <f t="shared" si="15"/>
        <v>2411.714024837403</v>
      </c>
      <c r="N26" s="27">
        <f t="shared" si="8"/>
        <v>4220.2294502912646</v>
      </c>
      <c r="O26" s="27">
        <f t="shared" si="9"/>
        <v>20000000</v>
      </c>
      <c r="Q26" s="27">
        <f t="shared" si="0"/>
        <v>41312.768237057906</v>
      </c>
      <c r="R26" s="27">
        <f t="shared" si="1"/>
        <v>2360.8806993964122</v>
      </c>
      <c r="S26" s="27">
        <f t="shared" si="2"/>
        <v>4131.2768237057917</v>
      </c>
      <c r="T26" s="27">
        <f t="shared" si="2"/>
        <v>48642.650307976248</v>
      </c>
      <c r="U26" s="38">
        <v>0</v>
      </c>
      <c r="V26" s="27">
        <f t="shared" si="3"/>
        <v>2437.4427499768994</v>
      </c>
      <c r="W26" s="27">
        <f t="shared" si="10"/>
        <v>-11384.596844043643</v>
      </c>
      <c r="Y26" s="27">
        <f>SUM($L$5:L25)*($B$5-D26+1)/$B$5*105%</f>
        <v>279168.17813676724</v>
      </c>
      <c r="Z26" s="27">
        <f t="shared" si="4"/>
        <v>19541.772469573709</v>
      </c>
      <c r="AB26" s="27">
        <f t="shared" si="11"/>
        <v>27359.219624355315</v>
      </c>
      <c r="AC26" s="35">
        <f t="shared" si="12"/>
        <v>4.6200588990966504E-2</v>
      </c>
    </row>
    <row r="27" spans="4:29" x14ac:dyDescent="0.35">
      <c r="D27" s="27">
        <f t="shared" si="16"/>
        <v>23</v>
      </c>
      <c r="E27" s="27">
        <f t="shared" si="16"/>
        <v>52</v>
      </c>
      <c r="G27" s="34">
        <f>VLOOKUP(E27,'Q.2 Data'!$A$4:$B$67,2,0)</f>
        <v>2.7750000000000001E-3</v>
      </c>
      <c r="H27" s="34">
        <f t="shared" si="14"/>
        <v>0.97649019205647147</v>
      </c>
      <c r="I27" s="34">
        <f t="shared" si="5"/>
        <v>2.7097602829567083E-3</v>
      </c>
      <c r="J27" s="34">
        <f t="shared" si="6"/>
        <v>0.97378043177351481</v>
      </c>
      <c r="L27" s="38">
        <f t="shared" si="7"/>
        <v>42202.294502912642</v>
      </c>
      <c r="M27" s="27">
        <f t="shared" si="15"/>
        <v>2520.2411559550865</v>
      </c>
      <c r="N27" s="27">
        <f t="shared" si="8"/>
        <v>4220.2294502912646</v>
      </c>
      <c r="O27" s="27">
        <f t="shared" si="9"/>
        <v>20000000</v>
      </c>
      <c r="Q27" s="27">
        <f t="shared" si="0"/>
        <v>41210.12666437294</v>
      </c>
      <c r="R27" s="27">
        <f t="shared" si="1"/>
        <v>2460.9907704072061</v>
      </c>
      <c r="S27" s="27">
        <f t="shared" si="2"/>
        <v>4121.0126664372938</v>
      </c>
      <c r="T27" s="27">
        <f t="shared" si="2"/>
        <v>54195.205659134168</v>
      </c>
      <c r="U27" s="38">
        <v>0</v>
      </c>
      <c r="V27" s="27">
        <f t="shared" si="3"/>
        <v>2423.9686259269911</v>
      </c>
      <c r="W27" s="27">
        <f t="shared" si="10"/>
        <v>-17143.113805678735</v>
      </c>
      <c r="Y27" s="27">
        <f>SUM($L$5:L26)*($B$5-D27+1)/$B$5*105%</f>
        <v>259966.13413794199</v>
      </c>
      <c r="Z27" s="27">
        <f t="shared" si="4"/>
        <v>18197.62938965594</v>
      </c>
      <c r="AB27" s="27">
        <f t="shared" si="11"/>
        <v>23210.720198006322</v>
      </c>
      <c r="AC27" s="35">
        <f t="shared" si="12"/>
        <v>4.0174425209536097E-2</v>
      </c>
    </row>
    <row r="28" spans="4:29" x14ac:dyDescent="0.35">
      <c r="D28" s="27">
        <f t="shared" si="16"/>
        <v>24</v>
      </c>
      <c r="E28" s="27">
        <f t="shared" si="16"/>
        <v>53</v>
      </c>
      <c r="G28" s="34">
        <f>VLOOKUP(E28,'Q.2 Data'!$A$4:$B$67,2,0)</f>
        <v>3.0869999999999999E-3</v>
      </c>
      <c r="H28" s="34">
        <f t="shared" si="14"/>
        <v>0.97378043177351481</v>
      </c>
      <c r="I28" s="34">
        <f t="shared" si="5"/>
        <v>3.0060601928848401E-3</v>
      </c>
      <c r="J28" s="34">
        <f t="shared" si="6"/>
        <v>0.97077437158062996</v>
      </c>
      <c r="L28" s="38">
        <f t="shared" si="7"/>
        <v>42202.294502912642</v>
      </c>
      <c r="M28" s="27">
        <f t="shared" si="15"/>
        <v>2633.6520079730644</v>
      </c>
      <c r="N28" s="27">
        <f t="shared" si="8"/>
        <v>4220.2294502912646</v>
      </c>
      <c r="O28" s="27">
        <f t="shared" si="9"/>
        <v>20000000</v>
      </c>
      <c r="Q28" s="27">
        <f t="shared" si="0"/>
        <v>41095.768562879304</v>
      </c>
      <c r="R28" s="27">
        <f t="shared" si="1"/>
        <v>2564.5987894651948</v>
      </c>
      <c r="S28" s="27">
        <f t="shared" si="2"/>
        <v>4109.5768562879302</v>
      </c>
      <c r="T28" s="27">
        <f t="shared" si="2"/>
        <v>60121.203857696804</v>
      </c>
      <c r="U28" s="38">
        <v>0</v>
      </c>
      <c r="V28" s="27">
        <f t="shared" si="3"/>
        <v>2409.5115041988329</v>
      </c>
      <c r="W28" s="27">
        <f t="shared" si="10"/>
        <v>-23290.099436371791</v>
      </c>
      <c r="Y28" s="27">
        <f>SUM($L$5:L27)*($B$5-D28+1)/$B$5*105%</f>
        <v>237809.92952391287</v>
      </c>
      <c r="Z28" s="27">
        <f t="shared" si="4"/>
        <v>16646.695066673903</v>
      </c>
      <c r="AB28" s="27">
        <f t="shared" si="11"/>
        <v>18466.960859535156</v>
      </c>
      <c r="AC28" s="35">
        <f t="shared" si="12"/>
        <v>3.493428279090096E-2</v>
      </c>
    </row>
    <row r="29" spans="4:29" x14ac:dyDescent="0.35">
      <c r="D29" s="27">
        <f t="shared" si="16"/>
        <v>25</v>
      </c>
      <c r="E29" s="27">
        <f t="shared" si="16"/>
        <v>54</v>
      </c>
      <c r="G29" s="34">
        <f>VLOOKUP(E29,'Q.2 Data'!$A$4:$B$67,2,0)</f>
        <v>3.4155000000000001E-3</v>
      </c>
      <c r="H29" s="34">
        <f t="shared" si="14"/>
        <v>0.97077437158062996</v>
      </c>
      <c r="I29" s="34">
        <f t="shared" si="5"/>
        <v>3.3156798661336416E-3</v>
      </c>
      <c r="J29" s="34">
        <f t="shared" si="6"/>
        <v>0.96745869171449628</v>
      </c>
      <c r="L29" s="38">
        <f t="shared" si="7"/>
        <v>42202.294502912642</v>
      </c>
      <c r="M29" s="27">
        <f t="shared" si="15"/>
        <v>2752.1663483318525</v>
      </c>
      <c r="N29" s="27">
        <f t="shared" si="8"/>
        <v>4220.2294502912646</v>
      </c>
      <c r="O29" s="27">
        <f t="shared" si="9"/>
        <v>20000000</v>
      </c>
      <c r="Q29" s="27">
        <f t="shared" si="0"/>
        <v>40968.905925325693</v>
      </c>
      <c r="R29" s="27">
        <f t="shared" si="1"/>
        <v>2671.7325572872114</v>
      </c>
      <c r="S29" s="27">
        <f t="shared" si="2"/>
        <v>4096.8905925325698</v>
      </c>
      <c r="T29" s="27">
        <f t="shared" si="2"/>
        <v>66313.597322672838</v>
      </c>
      <c r="U29" s="38">
        <v>0</v>
      </c>
      <c r="V29" s="27">
        <f t="shared" si="3"/>
        <v>2394.0197942854143</v>
      </c>
      <c r="W29" s="27">
        <f t="shared" si="10"/>
        <v>-29719.294752881513</v>
      </c>
      <c r="Y29" s="27">
        <f>SUM($L$5:L28)*($B$5-D29+1)/$B$5*105%</f>
        <v>212699.56429467982</v>
      </c>
      <c r="Z29" s="27">
        <f t="shared" si="4"/>
        <v>14888.969500627589</v>
      </c>
      <c r="AB29" s="27">
        <f t="shared" si="11"/>
        <v>13234.200592183022</v>
      </c>
      <c r="AC29" s="35">
        <f t="shared" si="12"/>
        <v>3.03776372094791E-2</v>
      </c>
    </row>
    <row r="30" spans="4:29" x14ac:dyDescent="0.35">
      <c r="D30" s="27">
        <f t="shared" si="16"/>
        <v>26</v>
      </c>
      <c r="E30" s="27">
        <f t="shared" si="16"/>
        <v>55</v>
      </c>
      <c r="G30" s="34">
        <f>VLOOKUP(E30,'Q.2 Data'!$A$4:$B$67,2,0)</f>
        <v>3.7564999999999999E-3</v>
      </c>
      <c r="H30" s="34">
        <f t="shared" si="14"/>
        <v>0.96745869171449628</v>
      </c>
      <c r="I30" s="34">
        <f t="shared" si="5"/>
        <v>3.634258575425505E-3</v>
      </c>
      <c r="J30" s="34">
        <f t="shared" si="6"/>
        <v>0.96382443313907074</v>
      </c>
      <c r="L30" s="38">
        <f t="shared" si="7"/>
        <v>42202.294502912642</v>
      </c>
      <c r="M30" s="27">
        <f t="shared" si="15"/>
        <v>2876.0138340067851</v>
      </c>
      <c r="N30" s="27">
        <f t="shared" si="8"/>
        <v>4220.2294502912646</v>
      </c>
      <c r="O30" s="27">
        <f t="shared" si="9"/>
        <v>20000000</v>
      </c>
      <c r="Q30" s="27">
        <f t="shared" si="0"/>
        <v>40828.976627137745</v>
      </c>
      <c r="R30" s="27">
        <f t="shared" si="1"/>
        <v>2782.4245812009967</v>
      </c>
      <c r="S30" s="27">
        <f t="shared" si="2"/>
        <v>4082.8976627137745</v>
      </c>
      <c r="T30" s="27">
        <f t="shared" si="2"/>
        <v>72685.171508510102</v>
      </c>
      <c r="U30" s="38">
        <v>0</v>
      </c>
      <c r="V30" s="27">
        <f t="shared" si="3"/>
        <v>2377.4558068256083</v>
      </c>
      <c r="W30" s="27">
        <f t="shared" si="10"/>
        <v>-36344.061318461521</v>
      </c>
      <c r="Y30" s="27">
        <f>SUM($L$5:L29)*($B$5-D30+1)/$B$5*105%</f>
        <v>184635.03845024286</v>
      </c>
      <c r="Z30" s="27">
        <f t="shared" si="4"/>
        <v>12924.452691517001</v>
      </c>
      <c r="AB30" s="27">
        <f t="shared" si="11"/>
        <v>7599.0778326962845</v>
      </c>
      <c r="AC30" s="35">
        <f t="shared" si="12"/>
        <v>2.6415336703894867E-2</v>
      </c>
    </row>
    <row r="31" spans="4:29" x14ac:dyDescent="0.35">
      <c r="D31" s="27">
        <f t="shared" si="16"/>
        <v>27</v>
      </c>
      <c r="E31" s="27">
        <f t="shared" si="16"/>
        <v>56</v>
      </c>
      <c r="G31" s="34">
        <f>VLOOKUP(E31,'Q.2 Data'!$A$4:$B$67,2,0)</f>
        <v>4.1060000000000003E-3</v>
      </c>
      <c r="H31" s="34">
        <f t="shared" si="14"/>
        <v>0.96382443313907074</v>
      </c>
      <c r="I31" s="34">
        <f t="shared" si="5"/>
        <v>3.957463122469025E-3</v>
      </c>
      <c r="J31" s="34">
        <f t="shared" si="6"/>
        <v>0.95986697001660171</v>
      </c>
      <c r="L31" s="38">
        <f t="shared" si="7"/>
        <v>42202.294502912642</v>
      </c>
      <c r="M31" s="27">
        <f t="shared" si="15"/>
        <v>3005.4344565370907</v>
      </c>
      <c r="N31" s="27">
        <f t="shared" si="8"/>
        <v>4220.2294502912646</v>
      </c>
      <c r="O31" s="27">
        <f t="shared" si="9"/>
        <v>20000000</v>
      </c>
      <c r="Q31" s="27">
        <f t="shared" si="0"/>
        <v>40675.602576437901</v>
      </c>
      <c r="R31" s="27">
        <f t="shared" si="1"/>
        <v>2896.7111614084924</v>
      </c>
      <c r="S31" s="27">
        <f t="shared" si="2"/>
        <v>4067.56025764379</v>
      </c>
      <c r="T31" s="27">
        <f t="shared" si="2"/>
        <v>79149.262449380505</v>
      </c>
      <c r="U31" s="38">
        <v>0</v>
      </c>
      <c r="V31" s="27">
        <f t="shared" si="3"/>
        <v>2359.7931810169935</v>
      </c>
      <c r="W31" s="27">
        <f t="shared" si="10"/>
        <v>-43078.138110977896</v>
      </c>
      <c r="Y31" s="27">
        <f>SUM($L$5:L30)*($B$5-D31+1)/$B$5*105%</f>
        <v>153616.35199060207</v>
      </c>
      <c r="Z31" s="27">
        <f t="shared" si="4"/>
        <v>10753.144639342147</v>
      </c>
      <c r="AB31" s="27">
        <f t="shared" si="11"/>
        <v>1647.8536032089505</v>
      </c>
      <c r="AC31" s="35">
        <f t="shared" si="12"/>
        <v>2.2969858003386846E-2</v>
      </c>
    </row>
    <row r="32" spans="4:29" x14ac:dyDescent="0.35">
      <c r="D32" s="27">
        <f t="shared" si="16"/>
        <v>28</v>
      </c>
      <c r="E32" s="27">
        <f t="shared" si="16"/>
        <v>57</v>
      </c>
      <c r="G32" s="34">
        <f>VLOOKUP(E32,'Q.2 Data'!$A$4:$B$67,2,0)</f>
        <v>4.4625000000000003E-3</v>
      </c>
      <c r="H32" s="34">
        <f t="shared" si="14"/>
        <v>0.95986697001660171</v>
      </c>
      <c r="I32" s="34">
        <f t="shared" si="5"/>
        <v>4.2834063536990857E-3</v>
      </c>
      <c r="J32" s="34">
        <f t="shared" si="6"/>
        <v>0.95558356366290265</v>
      </c>
      <c r="L32" s="38">
        <f t="shared" si="7"/>
        <v>42202.294502912642</v>
      </c>
      <c r="M32" s="27">
        <f t="shared" si="15"/>
        <v>3140.6790070812585</v>
      </c>
      <c r="N32" s="27">
        <f t="shared" si="8"/>
        <v>4220.2294502912646</v>
      </c>
      <c r="O32" s="27">
        <f t="shared" si="9"/>
        <v>20000000</v>
      </c>
      <c r="Q32" s="27">
        <f t="shared" si="0"/>
        <v>40508.588552259047</v>
      </c>
      <c r="R32" s="27">
        <f t="shared" si="1"/>
        <v>3014.6340423218367</v>
      </c>
      <c r="S32" s="27">
        <f t="shared" si="2"/>
        <v>4050.8588552259048</v>
      </c>
      <c r="T32" s="27">
        <f t="shared" si="2"/>
        <v>85668.127073981712</v>
      </c>
      <c r="U32" s="38">
        <v>0</v>
      </c>
      <c r="V32" s="27">
        <f t="shared" si="3"/>
        <v>2341.0166958297918</v>
      </c>
      <c r="W32" s="27">
        <f t="shared" si="10"/>
        <v>-49884.01472344061</v>
      </c>
      <c r="Y32" s="27">
        <f>SUM($L$5:L31)*($B$5-D32+1)/$B$5*105%</f>
        <v>119643.50491575737</v>
      </c>
      <c r="Z32" s="27">
        <f t="shared" si="4"/>
        <v>8375.0453441030168</v>
      </c>
      <c r="AB32" s="27">
        <f t="shared" si="11"/>
        <v>-4581.9616892890208</v>
      </c>
      <c r="AC32" s="35">
        <f t="shared" si="12"/>
        <v>1.9973789568162478E-2</v>
      </c>
    </row>
    <row r="33" spans="4:29" x14ac:dyDescent="0.35">
      <c r="D33" s="27">
        <f t="shared" si="16"/>
        <v>29</v>
      </c>
      <c r="E33" s="27">
        <f t="shared" si="16"/>
        <v>58</v>
      </c>
      <c r="G33" s="34">
        <f>VLOOKUP(E33,'Q.2 Data'!$A$4:$B$67,2,0)</f>
        <v>4.8254999999999999E-3</v>
      </c>
      <c r="H33" s="34">
        <f t="shared" si="14"/>
        <v>0.95558356366290265</v>
      </c>
      <c r="I33" s="34">
        <f t="shared" si="5"/>
        <v>4.6111684864553366E-3</v>
      </c>
      <c r="J33" s="34">
        <f t="shared" si="6"/>
        <v>0.95097239517644727</v>
      </c>
      <c r="L33" s="38">
        <f t="shared" si="7"/>
        <v>42202.294502912642</v>
      </c>
      <c r="M33" s="27">
        <f t="shared" si="15"/>
        <v>3282.0095623999155</v>
      </c>
      <c r="N33" s="27">
        <f t="shared" si="8"/>
        <v>4220.2294502912646</v>
      </c>
      <c r="O33" s="27">
        <f t="shared" si="9"/>
        <v>20000000</v>
      </c>
      <c r="Q33" s="27">
        <f t="shared" si="0"/>
        <v>40327.818975844588</v>
      </c>
      <c r="R33" s="27">
        <f t="shared" si="1"/>
        <v>3136.234393613835</v>
      </c>
      <c r="S33" s="27">
        <f t="shared" si="2"/>
        <v>4032.7818975844593</v>
      </c>
      <c r="T33" s="27">
        <f t="shared" si="2"/>
        <v>92223.369729106736</v>
      </c>
      <c r="U33" s="38">
        <v>0</v>
      </c>
      <c r="V33" s="27">
        <f t="shared" si="3"/>
        <v>2321.1161879252409</v>
      </c>
      <c r="W33" s="27">
        <f t="shared" si="10"/>
        <v>-56743.450856535201</v>
      </c>
      <c r="Y33" s="27">
        <f>SUM($L$5:L32)*($B$5-D33+1)/$B$5*105%</f>
        <v>82716.497225708794</v>
      </c>
      <c r="Z33" s="27">
        <f t="shared" si="4"/>
        <v>5790.154805799616</v>
      </c>
      <c r="AB33" s="27">
        <f t="shared" si="11"/>
        <v>-11072.127745483125</v>
      </c>
      <c r="AC33" s="35">
        <f t="shared" si="12"/>
        <v>1.7368512667967372E-2</v>
      </c>
    </row>
    <row r="34" spans="4:29" x14ac:dyDescent="0.35">
      <c r="D34" s="27">
        <f t="shared" si="16"/>
        <v>30</v>
      </c>
      <c r="E34" s="27">
        <f t="shared" si="16"/>
        <v>59</v>
      </c>
      <c r="G34" s="34">
        <f>VLOOKUP(E34,'Q.2 Data'!$A$4:$B$67,2,0)</f>
        <v>5.1964999999999997E-3</v>
      </c>
      <c r="H34" s="34">
        <f t="shared" si="14"/>
        <v>0.95097239517644727</v>
      </c>
      <c r="I34" s="34">
        <f t="shared" si="5"/>
        <v>4.9417280515344081E-3</v>
      </c>
      <c r="J34" s="34">
        <f t="shared" si="6"/>
        <v>0.94603066712491291</v>
      </c>
      <c r="L34" s="38">
        <f t="shared" si="7"/>
        <v>42202.294502912642</v>
      </c>
      <c r="M34" s="27">
        <f t="shared" si="15"/>
        <v>3429.699992707911</v>
      </c>
      <c r="N34" s="27">
        <f t="shared" si="8"/>
        <v>4220.2294502912646</v>
      </c>
      <c r="O34" s="27">
        <f t="shared" si="9"/>
        <v>20000000</v>
      </c>
      <c r="Q34" s="27">
        <f t="shared" si="0"/>
        <v>40133.217085376651</v>
      </c>
      <c r="R34" s="27">
        <f t="shared" si="1"/>
        <v>3261.5500168020858</v>
      </c>
      <c r="S34" s="27">
        <f t="shared" si="2"/>
        <v>4013.3217085376655</v>
      </c>
      <c r="T34" s="27">
        <f t="shared" si="2"/>
        <v>98834.561030688157</v>
      </c>
      <c r="U34" s="38">
        <f>B8*B5*J34</f>
        <v>1197739.9446837746</v>
      </c>
      <c r="V34" s="27">
        <f t="shared" si="3"/>
        <v>2300.0841752025831</v>
      </c>
      <c r="W34" s="27">
        <f t="shared" si="10"/>
        <v>-1261416.0761792234</v>
      </c>
      <c r="Y34" s="27">
        <f>SUM($L$5:L33)*($B$5-D34+1)/$B$5*105%</f>
        <v>42835.328920456333</v>
      </c>
      <c r="Z34" s="27">
        <f t="shared" si="4"/>
        <v>2998.4730244319435</v>
      </c>
      <c r="AB34" s="27">
        <f t="shared" si="11"/>
        <v>-1215582.2742343352</v>
      </c>
      <c r="AC34" s="35">
        <f t="shared" si="12"/>
        <v>1.5103054493884669E-2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G34"/>
  <sheetViews>
    <sheetView zoomScale="70" zoomScaleNormal="70" workbookViewId="0"/>
  </sheetViews>
  <sheetFormatPr defaultColWidth="8.1640625" defaultRowHeight="15.5" x14ac:dyDescent="0.35"/>
  <cols>
    <col min="1" max="1" width="23.33203125" style="27" customWidth="1"/>
    <col min="2" max="2" width="11.1640625" style="27" bestFit="1" customWidth="1"/>
    <col min="3" max="3" width="8.1640625" style="27"/>
    <col min="4" max="5" width="8.4140625" style="27" bestFit="1" customWidth="1"/>
    <col min="6" max="6" width="8.1640625" style="27"/>
    <col min="7" max="10" width="14.83203125" style="27" customWidth="1"/>
    <col min="11" max="11" width="8.1640625" style="27"/>
    <col min="12" max="12" width="9" style="27" bestFit="1" customWidth="1"/>
    <col min="13" max="13" width="8.1640625" style="27"/>
    <col min="14" max="14" width="11.4140625" style="27" bestFit="1" customWidth="1"/>
    <col min="15" max="15" width="19.1640625" style="27" customWidth="1"/>
    <col min="16" max="16" width="8.1640625" style="27"/>
    <col min="17" max="23" width="14.9140625" style="27" customWidth="1"/>
    <col min="24" max="24" width="8.1640625" style="27"/>
    <col min="25" max="25" width="17.08203125" style="27" customWidth="1"/>
    <col min="26" max="26" width="12.5" style="27" bestFit="1" customWidth="1"/>
    <col min="27" max="27" width="8.1640625" style="27"/>
    <col min="28" max="29" width="14.5" style="27" customWidth="1"/>
    <col min="30" max="30" width="8.1640625" style="27"/>
    <col min="31" max="31" width="26.5" style="27" bestFit="1" customWidth="1"/>
    <col min="32" max="32" width="12.4140625" style="27" customWidth="1"/>
    <col min="33" max="33" width="8.1640625" style="28"/>
    <col min="34" max="16384" width="8.1640625" style="27"/>
  </cols>
  <sheetData>
    <row r="2" spans="1:33" s="28" customFormat="1" x14ac:dyDescent="0.35">
      <c r="A2" s="27"/>
      <c r="B2" s="27"/>
      <c r="C2" s="27"/>
      <c r="D2" s="27"/>
      <c r="E2" s="27"/>
      <c r="F2" s="27"/>
      <c r="K2" s="27"/>
      <c r="M2" s="29"/>
      <c r="N2" s="29"/>
      <c r="P2" s="27"/>
      <c r="Q2" s="29"/>
      <c r="R2" s="29"/>
      <c r="S2" s="29"/>
      <c r="T2" s="29"/>
      <c r="U2" s="29"/>
      <c r="X2" s="27"/>
      <c r="AA2" s="27"/>
    </row>
    <row r="3" spans="1:33" s="28" customFormat="1" ht="14.5" x14ac:dyDescent="0.35">
      <c r="G3" s="30" t="s">
        <v>30</v>
      </c>
      <c r="L3" s="30" t="s">
        <v>31</v>
      </c>
      <c r="Q3" s="30" t="s">
        <v>32</v>
      </c>
      <c r="Y3" s="30" t="s">
        <v>33</v>
      </c>
    </row>
    <row r="4" spans="1:33" s="31" customFormat="1" ht="46.5" x14ac:dyDescent="0.35">
      <c r="A4" s="30" t="s">
        <v>34</v>
      </c>
      <c r="D4" s="31" t="s">
        <v>35</v>
      </c>
      <c r="E4" s="31" t="s">
        <v>28</v>
      </c>
      <c r="G4" s="31" t="s">
        <v>36</v>
      </c>
      <c r="H4" s="31" t="s">
        <v>37</v>
      </c>
      <c r="I4" s="31" t="s">
        <v>38</v>
      </c>
      <c r="J4" s="31" t="s">
        <v>39</v>
      </c>
      <c r="L4" s="31" t="s">
        <v>40</v>
      </c>
      <c r="M4" s="31" t="s">
        <v>41</v>
      </c>
      <c r="N4" s="31" t="s">
        <v>42</v>
      </c>
      <c r="O4" s="31" t="s">
        <v>43</v>
      </c>
      <c r="Q4" s="31" t="s">
        <v>44</v>
      </c>
      <c r="R4" s="31" t="s">
        <v>45</v>
      </c>
      <c r="S4" s="31" t="s">
        <v>46</v>
      </c>
      <c r="T4" s="31" t="s">
        <v>47</v>
      </c>
      <c r="U4" s="31" t="s">
        <v>48</v>
      </c>
      <c r="V4" s="31" t="s">
        <v>49</v>
      </c>
      <c r="W4" s="31" t="s">
        <v>50</v>
      </c>
      <c r="Y4" s="31" t="s">
        <v>51</v>
      </c>
      <c r="Z4" s="31" t="s">
        <v>52</v>
      </c>
      <c r="AB4" s="31" t="s">
        <v>53</v>
      </c>
      <c r="AC4" s="31" t="s">
        <v>54</v>
      </c>
      <c r="AG4" s="32"/>
    </row>
    <row r="5" spans="1:33" x14ac:dyDescent="0.35">
      <c r="A5" s="33" t="s">
        <v>55</v>
      </c>
      <c r="B5" s="27">
        <v>30</v>
      </c>
      <c r="D5" s="27">
        <v>1</v>
      </c>
      <c r="E5" s="27">
        <f>B9</f>
        <v>30</v>
      </c>
      <c r="G5" s="34">
        <f>VLOOKUP(E5,'Q.2 Data'!$A$4:$B$67,2,0)</f>
        <v>4.885E-4</v>
      </c>
      <c r="H5" s="34">
        <v>1</v>
      </c>
      <c r="I5" s="34">
        <f>G5*H5</f>
        <v>4.885E-4</v>
      </c>
      <c r="J5" s="34">
        <f>H5-I5</f>
        <v>0.9995115</v>
      </c>
      <c r="L5" s="27">
        <f>$B$8</f>
        <v>35000</v>
      </c>
      <c r="M5" s="27">
        <f>$B$10</f>
        <v>2000</v>
      </c>
      <c r="N5" s="27">
        <f>B13*L5</f>
        <v>10500</v>
      </c>
      <c r="O5" s="27">
        <f>MIN($B$6*(1+$B$7*(D5-1)),200%*$B$6)</f>
        <v>10000000</v>
      </c>
      <c r="Q5" s="27">
        <f t="shared" ref="Q5:Q34" si="0">L5*H5</f>
        <v>35000</v>
      </c>
      <c r="R5" s="27">
        <f t="shared" ref="R5:R34" si="1">M5*H5</f>
        <v>2000</v>
      </c>
      <c r="S5" s="27">
        <f t="shared" ref="S5:T34" si="2">N5*H5</f>
        <v>10500</v>
      </c>
      <c r="T5" s="27">
        <f t="shared" si="2"/>
        <v>4885</v>
      </c>
      <c r="U5" s="27">
        <v>0</v>
      </c>
      <c r="V5" s="27">
        <f t="shared" ref="V5:V34" si="3">(Q5-R5-S5)*$B$15</f>
        <v>1575.0000000000002</v>
      </c>
      <c r="W5" s="27">
        <f>Q5-R5-S5-T5-U5+V5</f>
        <v>19190</v>
      </c>
      <c r="Y5" s="38">
        <v>0</v>
      </c>
      <c r="Z5" s="27">
        <f t="shared" ref="Z5:Z34" si="4">Y5*$B$15</f>
        <v>0</v>
      </c>
      <c r="AB5" s="27">
        <f>SUM(Q5,V5)-SUM(R5:U5)-(Y6-Y5)+Z5</f>
        <v>-19718.333333333336</v>
      </c>
      <c r="AC5" s="35">
        <f>(1+$B$16)^(-D5)</f>
        <v>0.86956521739130443</v>
      </c>
      <c r="AE5" s="27" t="s">
        <v>56</v>
      </c>
      <c r="AF5" s="27">
        <f>SUMPRODUCT(AB5:AB34,AC5:AC34)</f>
        <v>47947.34705484283</v>
      </c>
    </row>
    <row r="6" spans="1:33" x14ac:dyDescent="0.35">
      <c r="A6" s="33" t="s">
        <v>57</v>
      </c>
      <c r="B6" s="27">
        <v>10000000</v>
      </c>
      <c r="D6" s="27">
        <f>D5+1</f>
        <v>2</v>
      </c>
      <c r="E6" s="27">
        <f>E5+1</f>
        <v>31</v>
      </c>
      <c r="G6" s="34">
        <f>VLOOKUP(E6,'Q.2 Data'!$A$4:$B$67,2,0)</f>
        <v>5.0250000000000002E-4</v>
      </c>
      <c r="H6" s="34">
        <f>J5</f>
        <v>0.9995115</v>
      </c>
      <c r="I6" s="34">
        <f t="shared" ref="I6:I34" si="5">G6*H6</f>
        <v>5.0225452874999999E-4</v>
      </c>
      <c r="J6" s="34">
        <f t="shared" ref="J6:J34" si="6">H6-I6</f>
        <v>0.99900924547125003</v>
      </c>
      <c r="L6" s="27">
        <f t="shared" ref="L6:L34" si="7">$B$8</f>
        <v>35000</v>
      </c>
      <c r="M6" s="27">
        <f>$B$11*(1+$B$12)^(D6-2)</f>
        <v>1000</v>
      </c>
      <c r="N6" s="27">
        <f t="shared" ref="N6:N34" si="8">$B$14*L6</f>
        <v>3500</v>
      </c>
      <c r="O6" s="27">
        <f t="shared" ref="O6:O34" si="9">MIN($B$6*(1+$B$7*(D6-1)),200%*$B$6)</f>
        <v>10500000</v>
      </c>
      <c r="Q6" s="27">
        <f t="shared" si="0"/>
        <v>34982.902499999997</v>
      </c>
      <c r="R6" s="27">
        <f t="shared" si="1"/>
        <v>999.51149999999996</v>
      </c>
      <c r="S6" s="27">
        <f t="shared" si="2"/>
        <v>3498.29025</v>
      </c>
      <c r="T6" s="27">
        <f t="shared" si="2"/>
        <v>5273.672551875</v>
      </c>
      <c r="U6" s="27">
        <v>0</v>
      </c>
      <c r="V6" s="27">
        <f t="shared" si="3"/>
        <v>2133.9570524999999</v>
      </c>
      <c r="W6" s="27">
        <f t="shared" ref="W6:W34" si="10">Q6-R6-S6-T6-U6+V6</f>
        <v>27345.385250624997</v>
      </c>
      <c r="Y6" s="38">
        <f>SUM($L$5:L5)*($B$5-D6+1)/$B$5*115%</f>
        <v>38908.333333333336</v>
      </c>
      <c r="Z6" s="27">
        <f t="shared" si="4"/>
        <v>2723.5833333333339</v>
      </c>
      <c r="AB6" s="27">
        <f t="shared" ref="AB6:AB34" si="11">SUM(Q6,V6)-SUM(R6:U6)-(Y7-Y6)+Z6</f>
        <v>-6156.0314160416619</v>
      </c>
      <c r="AC6" s="35">
        <f t="shared" ref="AC6:AC34" si="12">(1+$B$16)^(-D6)</f>
        <v>0.7561436672967865</v>
      </c>
      <c r="AE6" s="27" t="s">
        <v>58</v>
      </c>
      <c r="AF6" s="27">
        <f>SUMPRODUCT(Q5:Q34,AC5:AC34)*(1+B16)</f>
        <v>263087.96620716894</v>
      </c>
    </row>
    <row r="7" spans="1:33" x14ac:dyDescent="0.35">
      <c r="A7" s="33" t="s">
        <v>59</v>
      </c>
      <c r="B7" s="36">
        <v>0.05</v>
      </c>
      <c r="D7" s="27">
        <f t="shared" ref="D7:E22" si="13">D6+1</f>
        <v>3</v>
      </c>
      <c r="E7" s="27">
        <f t="shared" si="13"/>
        <v>32</v>
      </c>
      <c r="G7" s="34">
        <f>VLOOKUP(E7,'Q.2 Data'!$A$4:$B$67,2,0)</f>
        <v>5.2099999999999998E-4</v>
      </c>
      <c r="H7" s="34">
        <f t="shared" ref="H7:H34" si="14">J6</f>
        <v>0.99900924547125003</v>
      </c>
      <c r="I7" s="34">
        <f t="shared" si="5"/>
        <v>5.2048381689052123E-4</v>
      </c>
      <c r="J7" s="34">
        <f t="shared" si="6"/>
        <v>0.99848876165435951</v>
      </c>
      <c r="L7" s="27">
        <f t="shared" si="7"/>
        <v>35000</v>
      </c>
      <c r="M7" s="27">
        <f t="shared" ref="M7:M34" si="15">$B$11*(1+$B$12)^(D7-2)</f>
        <v>1045</v>
      </c>
      <c r="N7" s="27">
        <f t="shared" si="8"/>
        <v>3500</v>
      </c>
      <c r="O7" s="27">
        <f t="shared" si="9"/>
        <v>11000000</v>
      </c>
      <c r="Q7" s="27">
        <f t="shared" si="0"/>
        <v>34965.323591493754</v>
      </c>
      <c r="R7" s="27">
        <f t="shared" si="1"/>
        <v>1043.9646615174563</v>
      </c>
      <c r="S7" s="27">
        <f t="shared" si="2"/>
        <v>3496.5323591493752</v>
      </c>
      <c r="T7" s="27">
        <f t="shared" si="2"/>
        <v>5725.3219857957338</v>
      </c>
      <c r="U7" s="27">
        <v>0</v>
      </c>
      <c r="V7" s="27">
        <f t="shared" si="3"/>
        <v>2129.7378599578847</v>
      </c>
      <c r="W7" s="27">
        <f t="shared" si="10"/>
        <v>26829.242444989071</v>
      </c>
      <c r="Y7" s="38">
        <f>SUM($L$5:L6)*($B$5-D7+1)/$B$5*115%</f>
        <v>75133.333333333328</v>
      </c>
      <c r="Z7" s="27">
        <f t="shared" si="4"/>
        <v>5259.3333333333339</v>
      </c>
      <c r="AB7" s="27">
        <f t="shared" si="11"/>
        <v>-1453.090888344248</v>
      </c>
      <c r="AC7" s="35">
        <f t="shared" si="12"/>
        <v>0.65751623243198831</v>
      </c>
    </row>
    <row r="8" spans="1:33" x14ac:dyDescent="0.35">
      <c r="A8" s="33" t="s">
        <v>60</v>
      </c>
      <c r="B8" s="27">
        <v>35000</v>
      </c>
      <c r="D8" s="27">
        <f t="shared" si="13"/>
        <v>4</v>
      </c>
      <c r="E8" s="27">
        <f t="shared" si="13"/>
        <v>33</v>
      </c>
      <c r="G8" s="34">
        <f>VLOOKUP(E8,'Q.2 Data'!$A$4:$B$67,2,0)</f>
        <v>5.4299999999999997E-4</v>
      </c>
      <c r="H8" s="34">
        <f t="shared" si="14"/>
        <v>0.99848876165435951</v>
      </c>
      <c r="I8" s="34">
        <f t="shared" si="5"/>
        <v>5.4217939757831722E-4</v>
      </c>
      <c r="J8" s="34">
        <f t="shared" si="6"/>
        <v>0.99794658225678123</v>
      </c>
      <c r="L8" s="27">
        <f t="shared" si="7"/>
        <v>35000</v>
      </c>
      <c r="M8" s="27">
        <f t="shared" si="15"/>
        <v>1092.0249999999999</v>
      </c>
      <c r="N8" s="27">
        <f t="shared" si="8"/>
        <v>3500</v>
      </c>
      <c r="O8" s="27">
        <f t="shared" si="9"/>
        <v>11500000</v>
      </c>
      <c r="Q8" s="27">
        <f t="shared" si="0"/>
        <v>34947.106657902586</v>
      </c>
      <c r="R8" s="27">
        <f t="shared" si="1"/>
        <v>1090.3746899456019</v>
      </c>
      <c r="S8" s="27">
        <f t="shared" si="2"/>
        <v>3494.7106657902582</v>
      </c>
      <c r="T8" s="27">
        <f t="shared" si="2"/>
        <v>6235.0630721506477</v>
      </c>
      <c r="U8" s="27">
        <v>0</v>
      </c>
      <c r="V8" s="27">
        <f t="shared" si="3"/>
        <v>2125.3414911516711</v>
      </c>
      <c r="W8" s="27">
        <f t="shared" si="10"/>
        <v>26252.299721167747</v>
      </c>
      <c r="Y8" s="38">
        <f>SUM($L$5:L7)*($B$5-D8+1)/$B$5*115%</f>
        <v>108674.99999999999</v>
      </c>
      <c r="Z8" s="27">
        <f t="shared" si="4"/>
        <v>7607.25</v>
      </c>
      <c r="AB8" s="27">
        <f t="shared" si="11"/>
        <v>3001.2163878344218</v>
      </c>
      <c r="AC8" s="35">
        <f t="shared" si="12"/>
        <v>0.57175324559303342</v>
      </c>
      <c r="AE8" s="27" t="s">
        <v>61</v>
      </c>
      <c r="AF8" s="37">
        <f>AF5/AF6</f>
        <v>0.18224834737247783</v>
      </c>
    </row>
    <row r="9" spans="1:33" x14ac:dyDescent="0.35">
      <c r="A9" s="33" t="s">
        <v>28</v>
      </c>
      <c r="B9" s="27">
        <v>30</v>
      </c>
      <c r="D9" s="27">
        <f t="shared" si="13"/>
        <v>5</v>
      </c>
      <c r="E9" s="27">
        <f t="shared" si="13"/>
        <v>34</v>
      </c>
      <c r="G9" s="34">
        <f>VLOOKUP(E9,'Q.2 Data'!$A$4:$B$67,2,0)</f>
        <v>5.6999999999999998E-4</v>
      </c>
      <c r="H9" s="34">
        <f t="shared" si="14"/>
        <v>0.99794658225678123</v>
      </c>
      <c r="I9" s="34">
        <f t="shared" si="5"/>
        <v>5.6882955188636525E-4</v>
      </c>
      <c r="J9" s="34">
        <f t="shared" si="6"/>
        <v>0.99737775270489482</v>
      </c>
      <c r="L9" s="27">
        <f t="shared" si="7"/>
        <v>35000</v>
      </c>
      <c r="M9" s="27">
        <f t="shared" si="15"/>
        <v>1141.1661249999997</v>
      </c>
      <c r="N9" s="27">
        <f t="shared" si="8"/>
        <v>3500</v>
      </c>
      <c r="O9" s="27">
        <f t="shared" si="9"/>
        <v>12000000</v>
      </c>
      <c r="Q9" s="27">
        <f t="shared" si="0"/>
        <v>34928.130378987342</v>
      </c>
      <c r="R9" s="27">
        <f t="shared" si="1"/>
        <v>1138.8228342309646</v>
      </c>
      <c r="S9" s="27">
        <f t="shared" si="2"/>
        <v>3492.8130378987344</v>
      </c>
      <c r="T9" s="27">
        <f t="shared" si="2"/>
        <v>6825.9546226363827</v>
      </c>
      <c r="U9" s="27">
        <v>0</v>
      </c>
      <c r="V9" s="27">
        <f t="shared" si="3"/>
        <v>2120.7546154800352</v>
      </c>
      <c r="W9" s="27">
        <f t="shared" si="10"/>
        <v>25591.294499701296</v>
      </c>
      <c r="Y9" s="38">
        <f>SUM($L$5:L8)*($B$5-D9+1)/$B$5*115%</f>
        <v>139533.33333333331</v>
      </c>
      <c r="Z9" s="27">
        <f t="shared" si="4"/>
        <v>9767.3333333333321</v>
      </c>
      <c r="AB9" s="27">
        <f t="shared" si="11"/>
        <v>7183.6278330345995</v>
      </c>
      <c r="AC9" s="35">
        <f t="shared" si="12"/>
        <v>0.49717673529828987</v>
      </c>
      <c r="AE9" s="27" t="s">
        <v>69</v>
      </c>
    </row>
    <row r="10" spans="1:33" x14ac:dyDescent="0.35">
      <c r="A10" s="33" t="s">
        <v>62</v>
      </c>
      <c r="B10" s="27">
        <v>2000</v>
      </c>
      <c r="D10" s="27">
        <f t="shared" si="13"/>
        <v>6</v>
      </c>
      <c r="E10" s="27">
        <f t="shared" si="13"/>
        <v>35</v>
      </c>
      <c r="G10" s="34">
        <f>VLOOKUP(E10,'Q.2 Data'!$A$4:$B$67,2,0)</f>
        <v>6.0099999999999997E-4</v>
      </c>
      <c r="H10" s="34">
        <f t="shared" si="14"/>
        <v>0.99737775270489482</v>
      </c>
      <c r="I10" s="34">
        <f t="shared" si="5"/>
        <v>5.9942402937564177E-4</v>
      </c>
      <c r="J10" s="34">
        <f t="shared" si="6"/>
        <v>0.99677832867551919</v>
      </c>
      <c r="L10" s="27">
        <f t="shared" si="7"/>
        <v>35000</v>
      </c>
      <c r="M10" s="27">
        <f t="shared" si="15"/>
        <v>1192.5186006249994</v>
      </c>
      <c r="N10" s="27">
        <f t="shared" si="8"/>
        <v>3500</v>
      </c>
      <c r="O10" s="27">
        <f t="shared" si="9"/>
        <v>12500000</v>
      </c>
      <c r="Q10" s="27">
        <f t="shared" si="0"/>
        <v>34908.221344671321</v>
      </c>
      <c r="R10" s="27">
        <f t="shared" si="1"/>
        <v>1189.391521950148</v>
      </c>
      <c r="S10" s="27">
        <f t="shared" si="2"/>
        <v>3490.8221344671319</v>
      </c>
      <c r="T10" s="27">
        <f t="shared" si="2"/>
        <v>7492.8003671955221</v>
      </c>
      <c r="U10" s="27">
        <v>0</v>
      </c>
      <c r="V10" s="27">
        <f t="shared" si="3"/>
        <v>2115.9605381777828</v>
      </c>
      <c r="W10" s="27">
        <f t="shared" si="10"/>
        <v>24851.167859236299</v>
      </c>
      <c r="Y10" s="38">
        <f>SUM($L$5:L9)*($B$5-D10+1)/$B$5*115%</f>
        <v>167708.33333333334</v>
      </c>
      <c r="Z10" s="27">
        <f t="shared" si="4"/>
        <v>11739.583333333336</v>
      </c>
      <c r="AB10" s="27">
        <f t="shared" si="11"/>
        <v>11099.084525903007</v>
      </c>
      <c r="AC10" s="35">
        <f t="shared" si="12"/>
        <v>0.43232759591155645</v>
      </c>
    </row>
    <row r="11" spans="1:33" x14ac:dyDescent="0.35">
      <c r="A11" s="33" t="s">
        <v>63</v>
      </c>
      <c r="B11" s="27">
        <v>1000</v>
      </c>
      <c r="D11" s="27">
        <f t="shared" si="13"/>
        <v>7</v>
      </c>
      <c r="E11" s="27">
        <f t="shared" si="13"/>
        <v>36</v>
      </c>
      <c r="G11" s="34">
        <f>VLOOKUP(E11,'Q.2 Data'!$A$4:$B$67,2,0)</f>
        <v>6.3750000000000005E-4</v>
      </c>
      <c r="H11" s="34">
        <f t="shared" si="14"/>
        <v>0.99677832867551919</v>
      </c>
      <c r="I11" s="34">
        <f t="shared" si="5"/>
        <v>6.3544618453064349E-4</v>
      </c>
      <c r="J11" s="34">
        <f t="shared" si="6"/>
        <v>0.99614288249098859</v>
      </c>
      <c r="L11" s="27">
        <f t="shared" si="7"/>
        <v>35000</v>
      </c>
      <c r="M11" s="27">
        <f t="shared" si="15"/>
        <v>1246.1819376531244</v>
      </c>
      <c r="N11" s="27">
        <f t="shared" si="8"/>
        <v>3500</v>
      </c>
      <c r="O11" s="27">
        <f t="shared" si="9"/>
        <v>13000000</v>
      </c>
      <c r="Q11" s="27">
        <f t="shared" si="0"/>
        <v>34887.24150364317</v>
      </c>
      <c r="R11" s="27">
        <f t="shared" si="1"/>
        <v>1242.1671490395013</v>
      </c>
      <c r="S11" s="27">
        <f t="shared" si="2"/>
        <v>3488.7241503643172</v>
      </c>
      <c r="T11" s="27">
        <f t="shared" si="2"/>
        <v>8260.8003988983655</v>
      </c>
      <c r="U11" s="27">
        <v>0</v>
      </c>
      <c r="V11" s="27">
        <f t="shared" si="3"/>
        <v>2110.9445142967547</v>
      </c>
      <c r="W11" s="27">
        <f t="shared" si="10"/>
        <v>24006.494319637743</v>
      </c>
      <c r="Y11" s="38">
        <f>SUM($L$5:L10)*($B$5-D11+1)/$B$5*115%</f>
        <v>193199.99999999997</v>
      </c>
      <c r="Z11" s="27">
        <f t="shared" si="4"/>
        <v>13524</v>
      </c>
      <c r="AB11" s="27">
        <f t="shared" si="11"/>
        <v>14722.160986304396</v>
      </c>
      <c r="AC11" s="35">
        <f t="shared" si="12"/>
        <v>0.37593703992309269</v>
      </c>
      <c r="AE11" s="40"/>
      <c r="AF11" s="27" t="s">
        <v>70</v>
      </c>
    </row>
    <row r="12" spans="1:33" x14ac:dyDescent="0.35">
      <c r="A12" s="33" t="s">
        <v>64</v>
      </c>
      <c r="B12" s="36">
        <f>4.5%</f>
        <v>4.4999999999999998E-2</v>
      </c>
      <c r="D12" s="27">
        <f t="shared" si="13"/>
        <v>8</v>
      </c>
      <c r="E12" s="27">
        <f t="shared" si="13"/>
        <v>37</v>
      </c>
      <c r="G12" s="34">
        <f>VLOOKUP(E12,'Q.2 Data'!$A$4:$B$67,2,0)</f>
        <v>6.7900000000000002E-4</v>
      </c>
      <c r="H12" s="34">
        <f t="shared" si="14"/>
        <v>0.99614288249098859</v>
      </c>
      <c r="I12" s="34">
        <f t="shared" si="5"/>
        <v>6.7638101721138129E-4</v>
      </c>
      <c r="J12" s="34">
        <f t="shared" si="6"/>
        <v>0.99546650147377724</v>
      </c>
      <c r="L12" s="27">
        <f t="shared" si="7"/>
        <v>35000</v>
      </c>
      <c r="M12" s="27">
        <f t="shared" si="15"/>
        <v>1302.2601248475148</v>
      </c>
      <c r="N12" s="27">
        <f t="shared" si="8"/>
        <v>3500</v>
      </c>
      <c r="O12" s="27">
        <f t="shared" si="9"/>
        <v>13500000</v>
      </c>
      <c r="Q12" s="27">
        <f t="shared" si="0"/>
        <v>34865.0008871846</v>
      </c>
      <c r="R12" s="27">
        <f t="shared" si="1"/>
        <v>1297.2371545186782</v>
      </c>
      <c r="S12" s="27">
        <f t="shared" si="2"/>
        <v>3486.5000887184601</v>
      </c>
      <c r="T12" s="27">
        <f t="shared" si="2"/>
        <v>9131.1437323536466</v>
      </c>
      <c r="U12" s="27">
        <v>0</v>
      </c>
      <c r="V12" s="27">
        <f t="shared" si="3"/>
        <v>2105.6884550763225</v>
      </c>
      <c r="W12" s="27">
        <f t="shared" si="10"/>
        <v>23055.808366670135</v>
      </c>
      <c r="Y12" s="38">
        <f>SUM($L$5:L11)*($B$5-D12+1)/$B$5*115%</f>
        <v>216008.33333333331</v>
      </c>
      <c r="Z12" s="27">
        <f t="shared" si="4"/>
        <v>15120.583333333334</v>
      </c>
      <c r="AB12" s="27">
        <f t="shared" si="11"/>
        <v>18051.391700003471</v>
      </c>
      <c r="AC12" s="35">
        <f t="shared" si="12"/>
        <v>0.32690177384616753</v>
      </c>
      <c r="AF12" s="27" t="s">
        <v>71</v>
      </c>
    </row>
    <row r="13" spans="1:33" x14ac:dyDescent="0.35">
      <c r="A13" s="33" t="s">
        <v>65</v>
      </c>
      <c r="B13" s="36">
        <v>0.3</v>
      </c>
      <c r="D13" s="27">
        <f t="shared" si="13"/>
        <v>9</v>
      </c>
      <c r="E13" s="27">
        <f t="shared" si="13"/>
        <v>38</v>
      </c>
      <c r="G13" s="34">
        <f>VLOOKUP(E13,'Q.2 Data'!$A$4:$B$67,2,0)</f>
        <v>7.2650000000000004E-4</v>
      </c>
      <c r="H13" s="34">
        <f t="shared" si="14"/>
        <v>0.99546650147377724</v>
      </c>
      <c r="I13" s="34">
        <f t="shared" si="5"/>
        <v>7.2320641332069917E-4</v>
      </c>
      <c r="J13" s="34">
        <f t="shared" si="6"/>
        <v>0.99474329506045656</v>
      </c>
      <c r="L13" s="27">
        <f t="shared" si="7"/>
        <v>35000</v>
      </c>
      <c r="M13" s="27">
        <f t="shared" si="15"/>
        <v>1360.8618304656529</v>
      </c>
      <c r="N13" s="27">
        <f t="shared" si="8"/>
        <v>3500</v>
      </c>
      <c r="O13" s="27">
        <f t="shared" si="9"/>
        <v>14000000</v>
      </c>
      <c r="Q13" s="27">
        <f t="shared" si="0"/>
        <v>34841.327551582202</v>
      </c>
      <c r="R13" s="27">
        <f t="shared" si="1"/>
        <v>1354.6923653628442</v>
      </c>
      <c r="S13" s="27">
        <f t="shared" si="2"/>
        <v>3484.1327551582203</v>
      </c>
      <c r="T13" s="27">
        <f t="shared" si="2"/>
        <v>10124.889786489788</v>
      </c>
      <c r="U13" s="27">
        <v>0</v>
      </c>
      <c r="V13" s="27">
        <f t="shared" si="3"/>
        <v>2100.1751701742796</v>
      </c>
      <c r="W13" s="27">
        <f t="shared" si="10"/>
        <v>21977.787814745625</v>
      </c>
      <c r="Y13" s="38">
        <f>SUM($L$5:L12)*($B$5-D13+1)/$B$5*115%</f>
        <v>236133.33333333331</v>
      </c>
      <c r="Z13" s="27">
        <f t="shared" si="4"/>
        <v>16529.333333333332</v>
      </c>
      <c r="AB13" s="27">
        <f t="shared" si="11"/>
        <v>21065.4544814123</v>
      </c>
      <c r="AC13" s="35">
        <f t="shared" si="12"/>
        <v>0.28426241204014574</v>
      </c>
    </row>
    <row r="14" spans="1:33" x14ac:dyDescent="0.35">
      <c r="A14" s="33" t="s">
        <v>66</v>
      </c>
      <c r="B14" s="36">
        <v>0.1</v>
      </c>
      <c r="D14" s="27">
        <f t="shared" si="13"/>
        <v>10</v>
      </c>
      <c r="E14" s="27">
        <f t="shared" si="13"/>
        <v>39</v>
      </c>
      <c r="G14" s="34">
        <f>VLOOKUP(E14,'Q.2 Data'!$A$4:$B$67,2,0)</f>
        <v>7.7999999999999999E-4</v>
      </c>
      <c r="H14" s="34">
        <f t="shared" si="14"/>
        <v>0.99474329506045656</v>
      </c>
      <c r="I14" s="34">
        <f t="shared" si="5"/>
        <v>7.7589977014715615E-4</v>
      </c>
      <c r="J14" s="34">
        <f t="shared" si="6"/>
        <v>0.99396739529030942</v>
      </c>
      <c r="L14" s="27">
        <f t="shared" si="7"/>
        <v>35000</v>
      </c>
      <c r="M14" s="27">
        <f t="shared" si="15"/>
        <v>1422.1006128366068</v>
      </c>
      <c r="N14" s="27">
        <f t="shared" si="8"/>
        <v>3500</v>
      </c>
      <c r="O14" s="27">
        <f t="shared" si="9"/>
        <v>14500000</v>
      </c>
      <c r="Q14" s="27">
        <f t="shared" si="0"/>
        <v>34816.01532711598</v>
      </c>
      <c r="R14" s="27">
        <f t="shared" si="1"/>
        <v>1414.6250495205809</v>
      </c>
      <c r="S14" s="27">
        <f t="shared" si="2"/>
        <v>3481.6015327115979</v>
      </c>
      <c r="T14" s="27">
        <f t="shared" si="2"/>
        <v>11250.546667133764</v>
      </c>
      <c r="U14" s="27">
        <v>0</v>
      </c>
      <c r="V14" s="27">
        <f t="shared" si="3"/>
        <v>2094.3852121418663</v>
      </c>
      <c r="W14" s="27">
        <f t="shared" si="10"/>
        <v>20763.627289891905</v>
      </c>
      <c r="Y14" s="38">
        <f>SUM($L$5:L13)*($B$5-D14+1)/$B$5*115%</f>
        <v>253574.99999999997</v>
      </c>
      <c r="Z14" s="27">
        <f t="shared" si="4"/>
        <v>17750.25</v>
      </c>
      <c r="AB14" s="27">
        <f t="shared" si="11"/>
        <v>23755.543956558562</v>
      </c>
      <c r="AC14" s="35">
        <f t="shared" si="12"/>
        <v>0.24718470612186585</v>
      </c>
    </row>
    <row r="15" spans="1:33" x14ac:dyDescent="0.35">
      <c r="A15" s="33" t="s">
        <v>67</v>
      </c>
      <c r="B15" s="36">
        <v>7.0000000000000007E-2</v>
      </c>
      <c r="D15" s="27">
        <f t="shared" si="13"/>
        <v>11</v>
      </c>
      <c r="E15" s="27">
        <f t="shared" si="13"/>
        <v>40</v>
      </c>
      <c r="G15" s="34">
        <f>VLOOKUP(E15,'Q.2 Data'!$A$4:$B$67,2,0)</f>
        <v>8.4000000000000003E-4</v>
      </c>
      <c r="H15" s="34">
        <f t="shared" si="14"/>
        <v>0.99396739529030942</v>
      </c>
      <c r="I15" s="34">
        <f t="shared" si="5"/>
        <v>8.3493261204385996E-4</v>
      </c>
      <c r="J15" s="34">
        <f t="shared" si="6"/>
        <v>0.9931324626782656</v>
      </c>
      <c r="L15" s="27">
        <f t="shared" si="7"/>
        <v>35000</v>
      </c>
      <c r="M15" s="27">
        <f t="shared" si="15"/>
        <v>1486.0951404142543</v>
      </c>
      <c r="N15" s="27">
        <f t="shared" si="8"/>
        <v>3500</v>
      </c>
      <c r="O15" s="27">
        <f t="shared" si="9"/>
        <v>15000000</v>
      </c>
      <c r="Q15" s="27">
        <f t="shared" si="0"/>
        <v>34788.858835160827</v>
      </c>
      <c r="R15" s="27">
        <f t="shared" si="1"/>
        <v>1477.1301158711431</v>
      </c>
      <c r="S15" s="27">
        <f t="shared" si="2"/>
        <v>3478.8858835160831</v>
      </c>
      <c r="T15" s="27">
        <f t="shared" si="2"/>
        <v>12523.9891806579</v>
      </c>
      <c r="U15" s="27">
        <v>0</v>
      </c>
      <c r="V15" s="27">
        <f t="shared" si="3"/>
        <v>2088.2989985041522</v>
      </c>
      <c r="W15" s="27">
        <f t="shared" si="10"/>
        <v>19397.152653619854</v>
      </c>
      <c r="Y15" s="38">
        <f>SUM($L$5:L14)*($B$5-D15+1)/$B$5*115%</f>
        <v>268333.33333333331</v>
      </c>
      <c r="Z15" s="27">
        <f t="shared" si="4"/>
        <v>18783.333333333332</v>
      </c>
      <c r="AB15" s="27">
        <f t="shared" si="11"/>
        <v>26105.485986953183</v>
      </c>
      <c r="AC15" s="35">
        <f t="shared" si="12"/>
        <v>0.21494322271466598</v>
      </c>
    </row>
    <row r="16" spans="1:33" x14ac:dyDescent="0.35">
      <c r="A16" s="33" t="s">
        <v>68</v>
      </c>
      <c r="B16" s="36">
        <v>0.15</v>
      </c>
      <c r="D16" s="27">
        <f t="shared" si="13"/>
        <v>12</v>
      </c>
      <c r="E16" s="27">
        <f t="shared" si="13"/>
        <v>41</v>
      </c>
      <c r="G16" s="34">
        <f>VLOOKUP(E16,'Q.2 Data'!$A$4:$B$67,2,0)</f>
        <v>9.075E-4</v>
      </c>
      <c r="H16" s="34">
        <f t="shared" si="14"/>
        <v>0.9931324626782656</v>
      </c>
      <c r="I16" s="34">
        <f t="shared" si="5"/>
        <v>9.0126770988052608E-4</v>
      </c>
      <c r="J16" s="34">
        <f t="shared" si="6"/>
        <v>0.99223119496838508</v>
      </c>
      <c r="L16" s="27">
        <f t="shared" si="7"/>
        <v>35000</v>
      </c>
      <c r="M16" s="27">
        <f t="shared" si="15"/>
        <v>1552.9694217328954</v>
      </c>
      <c r="N16" s="27">
        <f t="shared" si="8"/>
        <v>3500</v>
      </c>
      <c r="O16" s="27">
        <f t="shared" si="9"/>
        <v>15500000</v>
      </c>
      <c r="Q16" s="27">
        <f t="shared" si="0"/>
        <v>34759.636193739294</v>
      </c>
      <c r="R16" s="27">
        <f t="shared" si="1"/>
        <v>1542.3043462696326</v>
      </c>
      <c r="S16" s="27">
        <f t="shared" si="2"/>
        <v>3475.9636193739298</v>
      </c>
      <c r="T16" s="27">
        <f t="shared" si="2"/>
        <v>13969.649503148154</v>
      </c>
      <c r="U16" s="27">
        <v>0</v>
      </c>
      <c r="V16" s="27">
        <f t="shared" si="3"/>
        <v>2081.8957759667019</v>
      </c>
      <c r="W16" s="27">
        <f t="shared" si="10"/>
        <v>17853.614500914286</v>
      </c>
      <c r="Y16" s="38">
        <f>SUM($L$5:L15)*($B$5-D16+1)/$B$5*115%</f>
        <v>280408.33333333331</v>
      </c>
      <c r="Z16" s="27">
        <f t="shared" si="4"/>
        <v>19628.583333333332</v>
      </c>
      <c r="AB16" s="27">
        <f t="shared" si="11"/>
        <v>28090.531167580928</v>
      </c>
      <c r="AC16" s="35">
        <f t="shared" si="12"/>
        <v>0.18690715018666609</v>
      </c>
    </row>
    <row r="17" spans="4:29" x14ac:dyDescent="0.35">
      <c r="D17" s="27">
        <f t="shared" si="13"/>
        <v>13</v>
      </c>
      <c r="E17" s="27">
        <f t="shared" si="13"/>
        <v>42</v>
      </c>
      <c r="G17" s="34">
        <f>VLOOKUP(E17,'Q.2 Data'!$A$4:$B$67,2,0)</f>
        <v>9.8449999999999992E-4</v>
      </c>
      <c r="H17" s="34">
        <f t="shared" si="14"/>
        <v>0.99223119496838508</v>
      </c>
      <c r="I17" s="34">
        <f t="shared" si="5"/>
        <v>9.7685161144637502E-4</v>
      </c>
      <c r="J17" s="34">
        <f t="shared" si="6"/>
        <v>0.99125434335693874</v>
      </c>
      <c r="L17" s="27">
        <f t="shared" si="7"/>
        <v>35000</v>
      </c>
      <c r="M17" s="27">
        <f t="shared" si="15"/>
        <v>1622.8530457108757</v>
      </c>
      <c r="N17" s="27">
        <f t="shared" si="8"/>
        <v>3500</v>
      </c>
      <c r="O17" s="27">
        <f t="shared" si="9"/>
        <v>16000000</v>
      </c>
      <c r="Q17" s="27">
        <f t="shared" si="0"/>
        <v>34728.091823893476</v>
      </c>
      <c r="R17" s="27">
        <f t="shared" si="1"/>
        <v>1610.2454168037855</v>
      </c>
      <c r="S17" s="27">
        <f t="shared" si="2"/>
        <v>3472.8091823893478</v>
      </c>
      <c r="T17" s="27">
        <f t="shared" si="2"/>
        <v>15629.625783142001</v>
      </c>
      <c r="U17" s="27">
        <v>0</v>
      </c>
      <c r="V17" s="27">
        <f t="shared" si="3"/>
        <v>2075.1526057290239</v>
      </c>
      <c r="W17" s="27">
        <f t="shared" si="10"/>
        <v>16090.564047287364</v>
      </c>
      <c r="Y17" s="38">
        <f>SUM($L$5:L16)*($B$5-D17+1)/$B$5*115%</f>
        <v>289800</v>
      </c>
      <c r="Z17" s="27">
        <f t="shared" si="4"/>
        <v>20286.000000000004</v>
      </c>
      <c r="AB17" s="27">
        <f t="shared" si="11"/>
        <v>29668.230713954057</v>
      </c>
      <c r="AC17" s="35">
        <f t="shared" si="12"/>
        <v>0.16252795668405748</v>
      </c>
    </row>
    <row r="18" spans="4:29" x14ac:dyDescent="0.35">
      <c r="D18" s="27">
        <f t="shared" si="13"/>
        <v>14</v>
      </c>
      <c r="E18" s="27">
        <f t="shared" si="13"/>
        <v>43</v>
      </c>
      <c r="G18" s="34">
        <f>VLOOKUP(E18,'Q.2 Data'!$A$4:$B$67,2,0)</f>
        <v>1.072E-3</v>
      </c>
      <c r="H18" s="34">
        <f t="shared" si="14"/>
        <v>0.99125434335693874</v>
      </c>
      <c r="I18" s="34">
        <f t="shared" si="5"/>
        <v>1.0626246560786383E-3</v>
      </c>
      <c r="J18" s="34">
        <f t="shared" si="6"/>
        <v>0.99019171870086009</v>
      </c>
      <c r="L18" s="27">
        <f t="shared" si="7"/>
        <v>35000</v>
      </c>
      <c r="M18" s="27">
        <f t="shared" si="15"/>
        <v>1695.8814327678647</v>
      </c>
      <c r="N18" s="27">
        <f t="shared" si="8"/>
        <v>3500</v>
      </c>
      <c r="O18" s="27">
        <f t="shared" si="9"/>
        <v>16500000</v>
      </c>
      <c r="Q18" s="27">
        <f t="shared" si="0"/>
        <v>34693.902017492859</v>
      </c>
      <c r="R18" s="27">
        <f t="shared" si="1"/>
        <v>1681.0498360495342</v>
      </c>
      <c r="S18" s="27">
        <f t="shared" si="2"/>
        <v>3469.3902017492856</v>
      </c>
      <c r="T18" s="27">
        <f t="shared" si="2"/>
        <v>17533.306825297532</v>
      </c>
      <c r="U18" s="27">
        <v>0</v>
      </c>
      <c r="V18" s="27">
        <f t="shared" si="3"/>
        <v>2068.042338578583</v>
      </c>
      <c r="W18" s="27">
        <f t="shared" si="10"/>
        <v>14078.19749297509</v>
      </c>
      <c r="Y18" s="38">
        <f>SUM($L$5:L17)*($B$5-D18+1)/$B$5*115%</f>
        <v>296508.33333333331</v>
      </c>
      <c r="Z18" s="27">
        <f t="shared" si="4"/>
        <v>20755.583333333336</v>
      </c>
      <c r="AB18" s="27">
        <f t="shared" si="11"/>
        <v>30808.780826308426</v>
      </c>
      <c r="AC18" s="35">
        <f t="shared" si="12"/>
        <v>0.14132865798613695</v>
      </c>
    </row>
    <row r="19" spans="4:29" x14ac:dyDescent="0.35">
      <c r="D19" s="27">
        <f t="shared" si="13"/>
        <v>15</v>
      </c>
      <c r="E19" s="27">
        <f t="shared" si="13"/>
        <v>44</v>
      </c>
      <c r="G19" s="34">
        <f>VLOOKUP(E19,'Q.2 Data'!$A$4:$B$67,2,0)</f>
        <v>1.1724999999999999E-3</v>
      </c>
      <c r="H19" s="34">
        <f t="shared" si="14"/>
        <v>0.99019171870086009</v>
      </c>
      <c r="I19" s="34">
        <f t="shared" si="5"/>
        <v>1.1609997901767585E-3</v>
      </c>
      <c r="J19" s="34">
        <f t="shared" si="6"/>
        <v>0.98903071891068328</v>
      </c>
      <c r="L19" s="27">
        <f t="shared" si="7"/>
        <v>35000</v>
      </c>
      <c r="M19" s="27">
        <f t="shared" si="15"/>
        <v>1772.1960972424188</v>
      </c>
      <c r="N19" s="27">
        <f t="shared" si="8"/>
        <v>3500</v>
      </c>
      <c r="O19" s="27">
        <f t="shared" si="9"/>
        <v>17000000</v>
      </c>
      <c r="Q19" s="27">
        <f t="shared" si="0"/>
        <v>34656.710154530105</v>
      </c>
      <c r="R19" s="27">
        <f t="shared" si="1"/>
        <v>1754.8138994034273</v>
      </c>
      <c r="S19" s="27">
        <f t="shared" si="2"/>
        <v>3465.6710154530101</v>
      </c>
      <c r="T19" s="27">
        <f t="shared" si="2"/>
        <v>19736.996433004893</v>
      </c>
      <c r="U19" s="27">
        <v>0</v>
      </c>
      <c r="V19" s="27">
        <f t="shared" si="3"/>
        <v>2060.5357667771568</v>
      </c>
      <c r="W19" s="27">
        <f t="shared" si="10"/>
        <v>11759.764573445929</v>
      </c>
      <c r="Y19" s="38">
        <f>SUM($L$5:L18)*($B$5-D19+1)/$B$5*115%</f>
        <v>300533.33333333331</v>
      </c>
      <c r="Z19" s="27">
        <f t="shared" si="4"/>
        <v>21037.333333333336</v>
      </c>
      <c r="AB19" s="27">
        <f t="shared" si="11"/>
        <v>31455.431240112579</v>
      </c>
      <c r="AC19" s="35">
        <f t="shared" si="12"/>
        <v>0.1228944852053365</v>
      </c>
    </row>
    <row r="20" spans="4:29" x14ac:dyDescent="0.35">
      <c r="D20" s="27">
        <f t="shared" si="13"/>
        <v>16</v>
      </c>
      <c r="E20" s="27">
        <f t="shared" si="13"/>
        <v>45</v>
      </c>
      <c r="G20" s="34">
        <f>VLOOKUP(E20,'Q.2 Data'!$A$4:$B$67,2,0)</f>
        <v>1.2895000000000001E-3</v>
      </c>
      <c r="H20" s="34">
        <f t="shared" si="14"/>
        <v>0.98903071891068328</v>
      </c>
      <c r="I20" s="34">
        <f t="shared" si="5"/>
        <v>1.2753551120353263E-3</v>
      </c>
      <c r="J20" s="34">
        <f t="shared" si="6"/>
        <v>0.98775536379864792</v>
      </c>
      <c r="L20" s="27">
        <f t="shared" si="7"/>
        <v>35000</v>
      </c>
      <c r="M20" s="27">
        <f t="shared" si="15"/>
        <v>1851.944921618327</v>
      </c>
      <c r="N20" s="27">
        <f t="shared" si="8"/>
        <v>3500</v>
      </c>
      <c r="O20" s="27">
        <f t="shared" si="9"/>
        <v>17500000</v>
      </c>
      <c r="Q20" s="27">
        <f t="shared" si="0"/>
        <v>34616.075161873916</v>
      </c>
      <c r="R20" s="27">
        <f t="shared" si="1"/>
        <v>1831.6304172111629</v>
      </c>
      <c r="S20" s="27">
        <f t="shared" si="2"/>
        <v>3461.6075161873914</v>
      </c>
      <c r="T20" s="27">
        <f t="shared" si="2"/>
        <v>22318.714460618208</v>
      </c>
      <c r="U20" s="27">
        <v>0</v>
      </c>
      <c r="V20" s="27">
        <f t="shared" si="3"/>
        <v>2052.5986059932752</v>
      </c>
      <c r="W20" s="27">
        <f t="shared" si="10"/>
        <v>9056.721373850427</v>
      </c>
      <c r="Y20" s="38">
        <f>SUM($L$5:L19)*($B$5-D20+1)/$B$5*115%</f>
        <v>301875</v>
      </c>
      <c r="Z20" s="27">
        <f t="shared" si="4"/>
        <v>21131.250000000004</v>
      </c>
      <c r="AB20" s="27">
        <f t="shared" si="11"/>
        <v>31529.638040517118</v>
      </c>
      <c r="AC20" s="35">
        <f t="shared" si="12"/>
        <v>0.10686476974377089</v>
      </c>
    </row>
    <row r="21" spans="4:29" x14ac:dyDescent="0.35">
      <c r="D21" s="27">
        <f t="shared" si="13"/>
        <v>17</v>
      </c>
      <c r="E21" s="27">
        <f t="shared" si="13"/>
        <v>46</v>
      </c>
      <c r="G21" s="34">
        <f>VLOOKUP(E21,'Q.2 Data'!$A$4:$B$67,2,0)</f>
        <v>1.4254999999999999E-3</v>
      </c>
      <c r="H21" s="34">
        <f t="shared" si="14"/>
        <v>0.98775536379864792</v>
      </c>
      <c r="I21" s="34">
        <f t="shared" si="5"/>
        <v>1.4080452710949726E-3</v>
      </c>
      <c r="J21" s="34">
        <f t="shared" si="6"/>
        <v>0.98634731852755297</v>
      </c>
      <c r="L21" s="27">
        <f t="shared" si="7"/>
        <v>35000</v>
      </c>
      <c r="M21" s="27">
        <f t="shared" si="15"/>
        <v>1935.2824430911519</v>
      </c>
      <c r="N21" s="27">
        <f t="shared" si="8"/>
        <v>3500</v>
      </c>
      <c r="O21" s="27">
        <f t="shared" si="9"/>
        <v>18000000</v>
      </c>
      <c r="Q21" s="27">
        <f t="shared" si="0"/>
        <v>34571.437732952676</v>
      </c>
      <c r="R21" s="27">
        <f t="shared" si="1"/>
        <v>1911.5856136286368</v>
      </c>
      <c r="S21" s="27">
        <f t="shared" si="2"/>
        <v>3457.1437732952677</v>
      </c>
      <c r="T21" s="27">
        <f t="shared" si="2"/>
        <v>25344.814879709505</v>
      </c>
      <c r="U21" s="27">
        <v>0</v>
      </c>
      <c r="V21" s="27">
        <f t="shared" si="3"/>
        <v>2044.189584222014</v>
      </c>
      <c r="W21" s="27">
        <f t="shared" si="10"/>
        <v>5902.0830505412769</v>
      </c>
      <c r="Y21" s="38">
        <f>SUM($L$5:L20)*($B$5-D21+1)/$B$5*115%</f>
        <v>300533.33333333331</v>
      </c>
      <c r="Z21" s="27">
        <f t="shared" si="4"/>
        <v>21037.333333333336</v>
      </c>
      <c r="AB21" s="27">
        <f t="shared" si="11"/>
        <v>30964.416383874614</v>
      </c>
      <c r="AC21" s="35">
        <f t="shared" si="12"/>
        <v>9.2925886733713825E-2</v>
      </c>
    </row>
    <row r="22" spans="4:29" x14ac:dyDescent="0.35">
      <c r="D22" s="27">
        <f t="shared" si="13"/>
        <v>18</v>
      </c>
      <c r="E22" s="27">
        <f t="shared" si="13"/>
        <v>47</v>
      </c>
      <c r="G22" s="34">
        <f>VLOOKUP(E22,'Q.2 Data'!$A$4:$B$67,2,0)</f>
        <v>1.5839999999999999E-3</v>
      </c>
      <c r="H22" s="34">
        <f t="shared" si="14"/>
        <v>0.98634731852755297</v>
      </c>
      <c r="I22" s="34">
        <f t="shared" si="5"/>
        <v>1.5623741525476438E-3</v>
      </c>
      <c r="J22" s="34">
        <f t="shared" si="6"/>
        <v>0.9847849443750053</v>
      </c>
      <c r="L22" s="27">
        <f t="shared" si="7"/>
        <v>35000</v>
      </c>
      <c r="M22" s="27">
        <f t="shared" si="15"/>
        <v>2022.3701530302528</v>
      </c>
      <c r="N22" s="27">
        <f t="shared" si="8"/>
        <v>3500</v>
      </c>
      <c r="O22" s="27">
        <f t="shared" si="9"/>
        <v>18500000</v>
      </c>
      <c r="Q22" s="27">
        <f t="shared" si="0"/>
        <v>34522.156148464353</v>
      </c>
      <c r="R22" s="27">
        <f t="shared" si="1"/>
        <v>1994.7593775115467</v>
      </c>
      <c r="S22" s="27">
        <f t="shared" si="2"/>
        <v>3452.2156148464355</v>
      </c>
      <c r="T22" s="27">
        <f t="shared" si="2"/>
        <v>28903.921822131411</v>
      </c>
      <c r="U22" s="27">
        <v>0</v>
      </c>
      <c r="V22" s="27">
        <f t="shared" si="3"/>
        <v>2035.2626809274464</v>
      </c>
      <c r="W22" s="27">
        <f t="shared" si="10"/>
        <v>2206.522014902408</v>
      </c>
      <c r="Y22" s="38">
        <f>SUM($L$5:L21)*($B$5-D22+1)/$B$5*115%</f>
        <v>296508.33333333331</v>
      </c>
      <c r="Z22" s="27">
        <f t="shared" si="4"/>
        <v>20755.583333333336</v>
      </c>
      <c r="AB22" s="27">
        <f t="shared" si="11"/>
        <v>29670.438681569052</v>
      </c>
      <c r="AC22" s="35">
        <f t="shared" si="12"/>
        <v>8.0805118898881603E-2</v>
      </c>
    </row>
    <row r="23" spans="4:29" x14ac:dyDescent="0.35">
      <c r="D23" s="27">
        <f t="shared" ref="D23:E34" si="16">D22+1</f>
        <v>19</v>
      </c>
      <c r="E23" s="27">
        <f t="shared" si="16"/>
        <v>48</v>
      </c>
      <c r="G23" s="34">
        <f>VLOOKUP(E23,'Q.2 Data'!$A$4:$B$67,2,0)</f>
        <v>1.768E-3</v>
      </c>
      <c r="H23" s="34">
        <f t="shared" si="14"/>
        <v>0.9847849443750053</v>
      </c>
      <c r="I23" s="34">
        <f t="shared" si="5"/>
        <v>1.7410997816550095E-3</v>
      </c>
      <c r="J23" s="34">
        <f t="shared" si="6"/>
        <v>0.98304384459335026</v>
      </c>
      <c r="L23" s="27">
        <f t="shared" si="7"/>
        <v>35000</v>
      </c>
      <c r="M23" s="27">
        <f t="shared" si="15"/>
        <v>2113.3768099166145</v>
      </c>
      <c r="N23" s="27">
        <f t="shared" si="8"/>
        <v>3500</v>
      </c>
      <c r="O23" s="27">
        <f t="shared" si="9"/>
        <v>19000000</v>
      </c>
      <c r="Q23" s="27">
        <f t="shared" si="0"/>
        <v>34467.473053125184</v>
      </c>
      <c r="R23" s="27">
        <f t="shared" si="1"/>
        <v>2081.2216641971595</v>
      </c>
      <c r="S23" s="27">
        <f t="shared" si="2"/>
        <v>3446.7473053125186</v>
      </c>
      <c r="T23" s="27">
        <f t="shared" si="2"/>
        <v>33080.895851445181</v>
      </c>
      <c r="U23" s="27">
        <v>0</v>
      </c>
      <c r="V23" s="27">
        <f t="shared" si="3"/>
        <v>2025.7652858530855</v>
      </c>
      <c r="W23" s="27">
        <f t="shared" si="10"/>
        <v>-2115.6264819765893</v>
      </c>
      <c r="Y23" s="38">
        <f>SUM($L$5:L22)*($B$5-D23+1)/$B$5*115%</f>
        <v>289800</v>
      </c>
      <c r="Z23" s="27">
        <f t="shared" si="4"/>
        <v>20286.000000000004</v>
      </c>
      <c r="AB23" s="27">
        <f t="shared" si="11"/>
        <v>27562.040184690104</v>
      </c>
      <c r="AC23" s="35">
        <f t="shared" si="12"/>
        <v>7.0265320781636179E-2</v>
      </c>
    </row>
    <row r="24" spans="4:29" x14ac:dyDescent="0.35">
      <c r="D24" s="27">
        <f t="shared" si="16"/>
        <v>20</v>
      </c>
      <c r="E24" s="27">
        <f t="shared" si="16"/>
        <v>49</v>
      </c>
      <c r="G24" s="34">
        <f>VLOOKUP(E24,'Q.2 Data'!$A$4:$B$67,2,0)</f>
        <v>1.9789999999999999E-3</v>
      </c>
      <c r="H24" s="34">
        <f t="shared" si="14"/>
        <v>0.98304384459335026</v>
      </c>
      <c r="I24" s="34">
        <f t="shared" si="5"/>
        <v>1.9454437684502401E-3</v>
      </c>
      <c r="J24" s="34">
        <f t="shared" si="6"/>
        <v>0.98109840082489996</v>
      </c>
      <c r="L24" s="27">
        <f t="shared" si="7"/>
        <v>35000</v>
      </c>
      <c r="M24" s="27">
        <f t="shared" si="15"/>
        <v>2208.4787663628617</v>
      </c>
      <c r="N24" s="27">
        <f t="shared" si="8"/>
        <v>3500</v>
      </c>
      <c r="O24" s="27">
        <f t="shared" si="9"/>
        <v>19500000</v>
      </c>
      <c r="Q24" s="27">
        <f t="shared" si="0"/>
        <v>34406.534560767257</v>
      </c>
      <c r="R24" s="27">
        <f t="shared" si="1"/>
        <v>2171.0314571881268</v>
      </c>
      <c r="S24" s="27">
        <f t="shared" si="2"/>
        <v>3440.6534560767259</v>
      </c>
      <c r="T24" s="27">
        <f t="shared" si="2"/>
        <v>37936.153484779679</v>
      </c>
      <c r="U24" s="27">
        <v>0</v>
      </c>
      <c r="V24" s="27">
        <f t="shared" si="3"/>
        <v>2015.6394753251684</v>
      </c>
      <c r="W24" s="27">
        <f t="shared" si="10"/>
        <v>-7125.6643619521074</v>
      </c>
      <c r="Y24" s="38">
        <f>SUM($L$5:L23)*($B$5-D24+1)/$B$5*115%</f>
        <v>280408.33333333331</v>
      </c>
      <c r="Z24" s="27">
        <f t="shared" si="4"/>
        <v>19628.583333333332</v>
      </c>
      <c r="AB24" s="27">
        <f t="shared" si="11"/>
        <v>24577.918971381219</v>
      </c>
      <c r="AC24" s="35">
        <f t="shared" si="12"/>
        <v>6.1100278940553199E-2</v>
      </c>
    </row>
    <row r="25" spans="4:29" x14ac:dyDescent="0.35">
      <c r="D25" s="27">
        <f t="shared" si="16"/>
        <v>21</v>
      </c>
      <c r="E25" s="27">
        <f t="shared" si="16"/>
        <v>50</v>
      </c>
      <c r="G25" s="34">
        <f>VLOOKUP(E25,'Q.2 Data'!$A$4:$B$67,2,0)</f>
        <v>2.2179999999999999E-3</v>
      </c>
      <c r="H25" s="34">
        <f t="shared" si="14"/>
        <v>0.98109840082489996</v>
      </c>
      <c r="I25" s="34">
        <f t="shared" si="5"/>
        <v>2.1760762530296279E-3</v>
      </c>
      <c r="J25" s="34">
        <f t="shared" si="6"/>
        <v>0.97892232457187034</v>
      </c>
      <c r="L25" s="27">
        <f t="shared" si="7"/>
        <v>35000</v>
      </c>
      <c r="M25" s="27">
        <f t="shared" si="15"/>
        <v>2307.8603108491902</v>
      </c>
      <c r="N25" s="27">
        <f t="shared" si="8"/>
        <v>3500</v>
      </c>
      <c r="O25" s="27">
        <f t="shared" si="9"/>
        <v>20000000</v>
      </c>
      <c r="Q25" s="27">
        <f t="shared" si="0"/>
        <v>34338.444028871498</v>
      </c>
      <c r="R25" s="27">
        <f t="shared" si="1"/>
        <v>2264.2380603013971</v>
      </c>
      <c r="S25" s="27">
        <f t="shared" si="2"/>
        <v>3433.84440288715</v>
      </c>
      <c r="T25" s="27">
        <f t="shared" si="2"/>
        <v>43521.525060592561</v>
      </c>
      <c r="U25" s="27">
        <v>0</v>
      </c>
      <c r="V25" s="27">
        <f t="shared" si="3"/>
        <v>2004.8253095978068</v>
      </c>
      <c r="W25" s="27">
        <f t="shared" si="10"/>
        <v>-12876.338185311801</v>
      </c>
      <c r="Y25" s="38">
        <f>SUM($L$5:L24)*($B$5-D25+1)/$B$5*115%</f>
        <v>268333.33333333331</v>
      </c>
      <c r="Z25" s="27">
        <f t="shared" si="4"/>
        <v>18783.333333333332</v>
      </c>
      <c r="AB25" s="27">
        <f t="shared" si="11"/>
        <v>20665.328481354871</v>
      </c>
      <c r="AC25" s="35">
        <f t="shared" si="12"/>
        <v>5.3130677339611479E-2</v>
      </c>
    </row>
    <row r="26" spans="4:29" x14ac:dyDescent="0.35">
      <c r="D26" s="27">
        <f t="shared" si="16"/>
        <v>22</v>
      </c>
      <c r="E26" s="27">
        <f t="shared" si="16"/>
        <v>51</v>
      </c>
      <c r="G26" s="34">
        <f>VLOOKUP(E26,'Q.2 Data'!$A$4:$B$67,2,0)</f>
        <v>2.4845000000000002E-3</v>
      </c>
      <c r="H26" s="34">
        <f t="shared" si="14"/>
        <v>0.97892232457187034</v>
      </c>
      <c r="I26" s="34">
        <f t="shared" si="5"/>
        <v>2.4321325153988122E-3</v>
      </c>
      <c r="J26" s="34">
        <f t="shared" si="6"/>
        <v>0.97649019205647147</v>
      </c>
      <c r="L26" s="27">
        <f t="shared" si="7"/>
        <v>35000</v>
      </c>
      <c r="M26" s="27">
        <f t="shared" si="15"/>
        <v>2411.714024837403</v>
      </c>
      <c r="N26" s="27">
        <f t="shared" si="8"/>
        <v>3500</v>
      </c>
      <c r="O26" s="27">
        <f t="shared" si="9"/>
        <v>20000000</v>
      </c>
      <c r="Q26" s="27">
        <f t="shared" si="0"/>
        <v>34262.281360015462</v>
      </c>
      <c r="R26" s="27">
        <f t="shared" si="1"/>
        <v>2360.8806993964122</v>
      </c>
      <c r="S26" s="27">
        <f t="shared" si="2"/>
        <v>3426.2281360015463</v>
      </c>
      <c r="T26" s="27">
        <f t="shared" si="2"/>
        <v>48642.650307976248</v>
      </c>
      <c r="U26" s="27">
        <v>0</v>
      </c>
      <c r="V26" s="27">
        <f t="shared" si="3"/>
        <v>1993.2620767232252</v>
      </c>
      <c r="W26" s="27">
        <f t="shared" si="10"/>
        <v>-18174.215706635521</v>
      </c>
      <c r="Y26" s="38">
        <f>SUM($L$5:L25)*($B$5-D26+1)/$B$5*115%</f>
        <v>253574.99999999997</v>
      </c>
      <c r="Z26" s="27">
        <f t="shared" si="4"/>
        <v>17750.25</v>
      </c>
      <c r="AB26" s="27">
        <f t="shared" si="11"/>
        <v>17017.700960031136</v>
      </c>
      <c r="AC26" s="35">
        <f t="shared" si="12"/>
        <v>4.6200588990966504E-2</v>
      </c>
    </row>
    <row r="27" spans="4:29" x14ac:dyDescent="0.35">
      <c r="D27" s="27">
        <f t="shared" si="16"/>
        <v>23</v>
      </c>
      <c r="E27" s="27">
        <f t="shared" si="16"/>
        <v>52</v>
      </c>
      <c r="G27" s="34">
        <f>VLOOKUP(E27,'Q.2 Data'!$A$4:$B$67,2,0)</f>
        <v>2.7750000000000001E-3</v>
      </c>
      <c r="H27" s="34">
        <f t="shared" si="14"/>
        <v>0.97649019205647147</v>
      </c>
      <c r="I27" s="34">
        <f t="shared" si="5"/>
        <v>2.7097602829567083E-3</v>
      </c>
      <c r="J27" s="34">
        <f t="shared" si="6"/>
        <v>0.97378043177351481</v>
      </c>
      <c r="L27" s="27">
        <f t="shared" si="7"/>
        <v>35000</v>
      </c>
      <c r="M27" s="27">
        <f t="shared" si="15"/>
        <v>2520.2411559550865</v>
      </c>
      <c r="N27" s="27">
        <f t="shared" si="8"/>
        <v>3500</v>
      </c>
      <c r="O27" s="27">
        <f t="shared" si="9"/>
        <v>20000000</v>
      </c>
      <c r="Q27" s="27">
        <f t="shared" si="0"/>
        <v>34177.156721976498</v>
      </c>
      <c r="R27" s="27">
        <f t="shared" si="1"/>
        <v>2460.9907704072061</v>
      </c>
      <c r="S27" s="27">
        <f t="shared" si="2"/>
        <v>3417.7156721976503</v>
      </c>
      <c r="T27" s="27">
        <f t="shared" si="2"/>
        <v>54195.205659134168</v>
      </c>
      <c r="U27" s="27">
        <v>0</v>
      </c>
      <c r="V27" s="27">
        <f t="shared" si="3"/>
        <v>1980.8915195560151</v>
      </c>
      <c r="W27" s="27">
        <f t="shared" si="10"/>
        <v>-23915.863860206511</v>
      </c>
      <c r="Y27" s="38">
        <f>SUM($L$5:L26)*($B$5-D27+1)/$B$5*115%</f>
        <v>236133.33333333331</v>
      </c>
      <c r="Z27" s="27">
        <f t="shared" si="4"/>
        <v>16529.333333333332</v>
      </c>
      <c r="AB27" s="27">
        <f t="shared" si="11"/>
        <v>12738.469473126821</v>
      </c>
      <c r="AC27" s="35">
        <f t="shared" si="12"/>
        <v>4.0174425209536097E-2</v>
      </c>
    </row>
    <row r="28" spans="4:29" x14ac:dyDescent="0.35">
      <c r="D28" s="27">
        <f t="shared" si="16"/>
        <v>24</v>
      </c>
      <c r="E28" s="27">
        <f t="shared" si="16"/>
        <v>53</v>
      </c>
      <c r="G28" s="34">
        <f>VLOOKUP(E28,'Q.2 Data'!$A$4:$B$67,2,0)</f>
        <v>3.0869999999999999E-3</v>
      </c>
      <c r="H28" s="34">
        <f t="shared" si="14"/>
        <v>0.97378043177351481</v>
      </c>
      <c r="I28" s="34">
        <f t="shared" si="5"/>
        <v>3.0060601928848401E-3</v>
      </c>
      <c r="J28" s="34">
        <f t="shared" si="6"/>
        <v>0.97077437158062996</v>
      </c>
      <c r="L28" s="27">
        <f t="shared" si="7"/>
        <v>35000</v>
      </c>
      <c r="M28" s="27">
        <f t="shared" si="15"/>
        <v>2633.6520079730644</v>
      </c>
      <c r="N28" s="27">
        <f t="shared" si="8"/>
        <v>3500</v>
      </c>
      <c r="O28" s="27">
        <f t="shared" si="9"/>
        <v>20000000</v>
      </c>
      <c r="Q28" s="27">
        <f t="shared" si="0"/>
        <v>34082.315112073018</v>
      </c>
      <c r="R28" s="27">
        <f t="shared" si="1"/>
        <v>2564.5987894651948</v>
      </c>
      <c r="S28" s="27">
        <f t="shared" si="2"/>
        <v>3408.231511207302</v>
      </c>
      <c r="T28" s="27">
        <f t="shared" si="2"/>
        <v>60121.203857696804</v>
      </c>
      <c r="U28" s="27">
        <v>0</v>
      </c>
      <c r="V28" s="27">
        <f t="shared" si="3"/>
        <v>1967.6639367980367</v>
      </c>
      <c r="W28" s="27">
        <f t="shared" si="10"/>
        <v>-30044.055109498247</v>
      </c>
      <c r="Y28" s="38">
        <f>SUM($L$5:L27)*($B$5-D28+1)/$B$5*115%</f>
        <v>216008.33333333331</v>
      </c>
      <c r="Z28" s="27">
        <f t="shared" si="4"/>
        <v>15120.583333333334</v>
      </c>
      <c r="AB28" s="27">
        <f t="shared" si="11"/>
        <v>7884.8615571684404</v>
      </c>
      <c r="AC28" s="35">
        <f t="shared" si="12"/>
        <v>3.493428279090096E-2</v>
      </c>
    </row>
    <row r="29" spans="4:29" x14ac:dyDescent="0.35">
      <c r="D29" s="27">
        <f t="shared" si="16"/>
        <v>25</v>
      </c>
      <c r="E29" s="27">
        <f t="shared" si="16"/>
        <v>54</v>
      </c>
      <c r="G29" s="34">
        <f>VLOOKUP(E29,'Q.2 Data'!$A$4:$B$67,2,0)</f>
        <v>3.4155000000000001E-3</v>
      </c>
      <c r="H29" s="34">
        <f t="shared" si="14"/>
        <v>0.97077437158062996</v>
      </c>
      <c r="I29" s="34">
        <f t="shared" si="5"/>
        <v>3.3156798661336416E-3</v>
      </c>
      <c r="J29" s="34">
        <f t="shared" si="6"/>
        <v>0.96745869171449628</v>
      </c>
      <c r="L29" s="27">
        <f t="shared" si="7"/>
        <v>35000</v>
      </c>
      <c r="M29" s="27">
        <f t="shared" si="15"/>
        <v>2752.1663483318525</v>
      </c>
      <c r="N29" s="27">
        <f t="shared" si="8"/>
        <v>3500</v>
      </c>
      <c r="O29" s="27">
        <f t="shared" si="9"/>
        <v>20000000</v>
      </c>
      <c r="Q29" s="27">
        <f t="shared" si="0"/>
        <v>33977.103005322046</v>
      </c>
      <c r="R29" s="27">
        <f t="shared" si="1"/>
        <v>2671.7325572872114</v>
      </c>
      <c r="S29" s="27">
        <f t="shared" si="2"/>
        <v>3397.7103005322047</v>
      </c>
      <c r="T29" s="27">
        <f t="shared" si="2"/>
        <v>66313.597322672838</v>
      </c>
      <c r="U29" s="27">
        <v>0</v>
      </c>
      <c r="V29" s="27">
        <f t="shared" si="3"/>
        <v>1953.5362103251841</v>
      </c>
      <c r="W29" s="27">
        <f t="shared" si="10"/>
        <v>-36452.40096484503</v>
      </c>
      <c r="Y29" s="38">
        <f>SUM($L$5:L28)*($B$5-D29+1)/$B$5*115%</f>
        <v>193199.99999999997</v>
      </c>
      <c r="Z29" s="27">
        <f t="shared" si="4"/>
        <v>13524</v>
      </c>
      <c r="AB29" s="27">
        <f t="shared" si="11"/>
        <v>2563.2657018215978</v>
      </c>
      <c r="AC29" s="35">
        <f t="shared" si="12"/>
        <v>3.03776372094791E-2</v>
      </c>
    </row>
    <row r="30" spans="4:29" x14ac:dyDescent="0.35">
      <c r="D30" s="27">
        <f t="shared" si="16"/>
        <v>26</v>
      </c>
      <c r="E30" s="27">
        <f t="shared" si="16"/>
        <v>55</v>
      </c>
      <c r="G30" s="34">
        <f>VLOOKUP(E30,'Q.2 Data'!$A$4:$B$67,2,0)</f>
        <v>3.7564999999999999E-3</v>
      </c>
      <c r="H30" s="34">
        <f t="shared" si="14"/>
        <v>0.96745869171449628</v>
      </c>
      <c r="I30" s="34">
        <f t="shared" si="5"/>
        <v>3.634258575425505E-3</v>
      </c>
      <c r="J30" s="34">
        <f t="shared" si="6"/>
        <v>0.96382443313907074</v>
      </c>
      <c r="L30" s="27">
        <f t="shared" si="7"/>
        <v>35000</v>
      </c>
      <c r="M30" s="27">
        <f t="shared" si="15"/>
        <v>2876.0138340067851</v>
      </c>
      <c r="N30" s="27">
        <f t="shared" si="8"/>
        <v>3500</v>
      </c>
      <c r="O30" s="27">
        <f t="shared" si="9"/>
        <v>20000000</v>
      </c>
      <c r="Q30" s="27">
        <f t="shared" si="0"/>
        <v>33861.054210007373</v>
      </c>
      <c r="R30" s="27">
        <f t="shared" si="1"/>
        <v>2782.4245812009967</v>
      </c>
      <c r="S30" s="27">
        <f t="shared" si="2"/>
        <v>3386.1054210007369</v>
      </c>
      <c r="T30" s="27">
        <f t="shared" si="2"/>
        <v>72685.171508510102</v>
      </c>
      <c r="U30" s="27">
        <v>0</v>
      </c>
      <c r="V30" s="27">
        <f t="shared" si="3"/>
        <v>1938.476694546395</v>
      </c>
      <c r="W30" s="27">
        <f t="shared" si="10"/>
        <v>-43054.17060615807</v>
      </c>
      <c r="Y30" s="38">
        <f>SUM($L$5:L29)*($B$5-D30+1)/$B$5*115%</f>
        <v>167708.33333333334</v>
      </c>
      <c r="Z30" s="27">
        <f t="shared" si="4"/>
        <v>11739.583333333336</v>
      </c>
      <c r="AB30" s="27">
        <f t="shared" si="11"/>
        <v>-3139.587272824705</v>
      </c>
      <c r="AC30" s="35">
        <f t="shared" si="12"/>
        <v>2.6415336703894867E-2</v>
      </c>
    </row>
    <row r="31" spans="4:29" x14ac:dyDescent="0.35">
      <c r="D31" s="27">
        <f t="shared" si="16"/>
        <v>27</v>
      </c>
      <c r="E31" s="27">
        <f t="shared" si="16"/>
        <v>56</v>
      </c>
      <c r="G31" s="34">
        <f>VLOOKUP(E31,'Q.2 Data'!$A$4:$B$67,2,0)</f>
        <v>4.1060000000000003E-3</v>
      </c>
      <c r="H31" s="34">
        <f t="shared" si="14"/>
        <v>0.96382443313907074</v>
      </c>
      <c r="I31" s="34">
        <f t="shared" si="5"/>
        <v>3.957463122469025E-3</v>
      </c>
      <c r="J31" s="34">
        <f t="shared" si="6"/>
        <v>0.95986697001660171</v>
      </c>
      <c r="L31" s="27">
        <f t="shared" si="7"/>
        <v>35000</v>
      </c>
      <c r="M31" s="27">
        <f t="shared" si="15"/>
        <v>3005.4344565370907</v>
      </c>
      <c r="N31" s="27">
        <f t="shared" si="8"/>
        <v>3500</v>
      </c>
      <c r="O31" s="27">
        <f t="shared" si="9"/>
        <v>20000000</v>
      </c>
      <c r="Q31" s="27">
        <f t="shared" si="0"/>
        <v>33733.855159867475</v>
      </c>
      <c r="R31" s="27">
        <f t="shared" si="1"/>
        <v>2896.7111614084924</v>
      </c>
      <c r="S31" s="27">
        <f t="shared" si="2"/>
        <v>3373.3855159867476</v>
      </c>
      <c r="T31" s="27">
        <f t="shared" si="2"/>
        <v>79149.262449380505</v>
      </c>
      <c r="U31" s="27">
        <v>0</v>
      </c>
      <c r="V31" s="27">
        <f t="shared" si="3"/>
        <v>1922.4630937730565</v>
      </c>
      <c r="W31" s="27">
        <f t="shared" si="10"/>
        <v>-49763.040873135222</v>
      </c>
      <c r="Y31" s="38">
        <f>SUM($L$5:L30)*($B$5-D31+1)/$B$5*115%</f>
        <v>139533.33333333331</v>
      </c>
      <c r="Z31" s="27">
        <f t="shared" si="4"/>
        <v>9767.3333333333321</v>
      </c>
      <c r="AB31" s="27">
        <f t="shared" si="11"/>
        <v>-9137.3742064685539</v>
      </c>
      <c r="AC31" s="35">
        <f t="shared" si="12"/>
        <v>2.2969858003386846E-2</v>
      </c>
    </row>
    <row r="32" spans="4:29" x14ac:dyDescent="0.35">
      <c r="D32" s="27">
        <f t="shared" si="16"/>
        <v>28</v>
      </c>
      <c r="E32" s="27">
        <f t="shared" si="16"/>
        <v>57</v>
      </c>
      <c r="G32" s="34">
        <f>VLOOKUP(E32,'Q.2 Data'!$A$4:$B$67,2,0)</f>
        <v>4.4625000000000003E-3</v>
      </c>
      <c r="H32" s="34">
        <f t="shared" si="14"/>
        <v>0.95986697001660171</v>
      </c>
      <c r="I32" s="34">
        <f t="shared" si="5"/>
        <v>4.2834063536990857E-3</v>
      </c>
      <c r="J32" s="34">
        <f t="shared" si="6"/>
        <v>0.95558356366290265</v>
      </c>
      <c r="L32" s="27">
        <f t="shared" si="7"/>
        <v>35000</v>
      </c>
      <c r="M32" s="27">
        <f t="shared" si="15"/>
        <v>3140.6790070812585</v>
      </c>
      <c r="N32" s="27">
        <f t="shared" si="8"/>
        <v>3500</v>
      </c>
      <c r="O32" s="27">
        <f t="shared" si="9"/>
        <v>20000000</v>
      </c>
      <c r="Q32" s="27">
        <f t="shared" si="0"/>
        <v>33595.34395058106</v>
      </c>
      <c r="R32" s="27">
        <f t="shared" si="1"/>
        <v>3014.6340423218367</v>
      </c>
      <c r="S32" s="27">
        <f t="shared" si="2"/>
        <v>3359.5343950581059</v>
      </c>
      <c r="T32" s="27">
        <f t="shared" si="2"/>
        <v>85668.127073981712</v>
      </c>
      <c r="U32" s="27">
        <v>0</v>
      </c>
      <c r="V32" s="27">
        <f t="shared" si="3"/>
        <v>1905.4822859240785</v>
      </c>
      <c r="W32" s="27">
        <f t="shared" si="10"/>
        <v>-56541.469274856514</v>
      </c>
      <c r="Y32" s="38">
        <f>SUM($L$5:L31)*($B$5-D32+1)/$B$5*115%</f>
        <v>108674.99999999999</v>
      </c>
      <c r="Z32" s="27">
        <f t="shared" si="4"/>
        <v>7607.25</v>
      </c>
      <c r="AB32" s="27">
        <f t="shared" si="11"/>
        <v>-15392.55260818985</v>
      </c>
      <c r="AC32" s="35">
        <f t="shared" si="12"/>
        <v>1.9973789568162478E-2</v>
      </c>
    </row>
    <row r="33" spans="4:29" x14ac:dyDescent="0.35">
      <c r="D33" s="27">
        <f t="shared" si="16"/>
        <v>29</v>
      </c>
      <c r="E33" s="27">
        <f t="shared" si="16"/>
        <v>58</v>
      </c>
      <c r="G33" s="34">
        <f>VLOOKUP(E33,'Q.2 Data'!$A$4:$B$67,2,0)</f>
        <v>4.8254999999999999E-3</v>
      </c>
      <c r="H33" s="34">
        <f t="shared" si="14"/>
        <v>0.95558356366290265</v>
      </c>
      <c r="I33" s="34">
        <f t="shared" si="5"/>
        <v>4.6111684864553366E-3</v>
      </c>
      <c r="J33" s="34">
        <f t="shared" si="6"/>
        <v>0.95097239517644727</v>
      </c>
      <c r="L33" s="27">
        <f t="shared" si="7"/>
        <v>35000</v>
      </c>
      <c r="M33" s="27">
        <f t="shared" si="15"/>
        <v>3282.0095623999155</v>
      </c>
      <c r="N33" s="27">
        <f t="shared" si="8"/>
        <v>3500</v>
      </c>
      <c r="O33" s="27">
        <f t="shared" si="9"/>
        <v>20000000</v>
      </c>
      <c r="Q33" s="27">
        <f t="shared" si="0"/>
        <v>33445.424728201593</v>
      </c>
      <c r="R33" s="27">
        <f t="shared" si="1"/>
        <v>3136.234393613835</v>
      </c>
      <c r="S33" s="27">
        <f t="shared" si="2"/>
        <v>3344.5424728201592</v>
      </c>
      <c r="T33" s="27">
        <f t="shared" si="2"/>
        <v>92223.369729106736</v>
      </c>
      <c r="U33" s="27">
        <v>0</v>
      </c>
      <c r="V33" s="27">
        <f t="shared" si="3"/>
        <v>1887.5253503237323</v>
      </c>
      <c r="W33" s="27">
        <f t="shared" si="10"/>
        <v>-63371.1965170154</v>
      </c>
      <c r="Y33" s="38">
        <f>SUM($L$5:L32)*($B$5-D33+1)/$B$5*115%</f>
        <v>75133.333333333328</v>
      </c>
      <c r="Z33" s="27">
        <f t="shared" si="4"/>
        <v>5259.3333333333339</v>
      </c>
      <c r="AB33" s="27">
        <f t="shared" si="11"/>
        <v>-21886.863183682079</v>
      </c>
      <c r="AC33" s="35">
        <f t="shared" si="12"/>
        <v>1.7368512667967372E-2</v>
      </c>
    </row>
    <row r="34" spans="4:29" x14ac:dyDescent="0.35">
      <c r="D34" s="27">
        <f t="shared" si="16"/>
        <v>30</v>
      </c>
      <c r="E34" s="27">
        <f t="shared" si="16"/>
        <v>59</v>
      </c>
      <c r="G34" s="34">
        <f>VLOOKUP(E34,'Q.2 Data'!$A$4:$B$67,2,0)</f>
        <v>5.1964999999999997E-3</v>
      </c>
      <c r="H34" s="34">
        <f t="shared" si="14"/>
        <v>0.95097239517644727</v>
      </c>
      <c r="I34" s="34">
        <f t="shared" si="5"/>
        <v>4.9417280515344081E-3</v>
      </c>
      <c r="J34" s="34">
        <f t="shared" si="6"/>
        <v>0.94603066712491291</v>
      </c>
      <c r="L34" s="27">
        <f t="shared" si="7"/>
        <v>35000</v>
      </c>
      <c r="M34" s="27">
        <f t="shared" si="15"/>
        <v>3429.699992707911</v>
      </c>
      <c r="N34" s="27">
        <f t="shared" si="8"/>
        <v>3500</v>
      </c>
      <c r="O34" s="27">
        <f t="shared" si="9"/>
        <v>20000000</v>
      </c>
      <c r="Q34" s="27">
        <f t="shared" si="0"/>
        <v>33284.033831175657</v>
      </c>
      <c r="R34" s="27">
        <f t="shared" si="1"/>
        <v>3261.5500168020858</v>
      </c>
      <c r="S34" s="27">
        <f t="shared" si="2"/>
        <v>3328.4033831175652</v>
      </c>
      <c r="T34" s="27">
        <f t="shared" si="2"/>
        <v>98834.561030688157</v>
      </c>
      <c r="U34" s="27">
        <v>0</v>
      </c>
      <c r="V34" s="27">
        <f t="shared" si="3"/>
        <v>1868.5856301879207</v>
      </c>
      <c r="W34" s="27">
        <f t="shared" si="10"/>
        <v>-70271.894969244226</v>
      </c>
      <c r="Y34" s="38">
        <f>SUM($L$5:L33)*($B$5-D34+1)/$B$5*115%</f>
        <v>38908.333333333336</v>
      </c>
      <c r="Z34" s="27">
        <f t="shared" si="4"/>
        <v>2723.5833333333339</v>
      </c>
      <c r="AB34" s="27">
        <f t="shared" si="11"/>
        <v>-28639.978302577569</v>
      </c>
      <c r="AC34" s="35">
        <f t="shared" si="12"/>
        <v>1.5103054493884669E-2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V121"/>
  <sheetViews>
    <sheetView zoomScale="70" zoomScaleNormal="70" workbookViewId="0"/>
  </sheetViews>
  <sheetFormatPr defaultColWidth="7.1640625" defaultRowHeight="13" x14ac:dyDescent="0.3"/>
  <cols>
    <col min="1" max="2" width="7.1640625" style="41"/>
    <col min="3" max="3" width="9.08203125" style="41" bestFit="1" customWidth="1"/>
    <col min="4" max="4" width="7.1640625" style="41"/>
    <col min="5" max="5" width="10.4140625" style="41" bestFit="1" customWidth="1"/>
    <col min="6" max="7" width="7.1640625" style="41"/>
    <col min="8" max="8" width="10.5" style="41" customWidth="1"/>
    <col min="9" max="9" width="7.1640625" style="41"/>
    <col min="10" max="10" width="10.1640625" style="41" bestFit="1" customWidth="1"/>
    <col min="11" max="11" width="13.08203125" style="41" customWidth="1"/>
    <col min="12" max="18" width="7.1640625" style="41"/>
    <col min="19" max="19" width="14.83203125" style="41" customWidth="1"/>
    <col min="20" max="20" width="7.1640625" style="41"/>
    <col min="21" max="21" width="10.33203125" style="41" bestFit="1" customWidth="1"/>
    <col min="22" max="22" width="18.5" style="41" customWidth="1"/>
    <col min="23" max="16384" width="7.1640625" style="41"/>
  </cols>
  <sheetData>
    <row r="3" spans="2:22" ht="21.75" customHeight="1" x14ac:dyDescent="0.3">
      <c r="B3" s="87" t="s">
        <v>72</v>
      </c>
      <c r="C3" s="88"/>
      <c r="E3" s="91" t="s">
        <v>73</v>
      </c>
      <c r="F3" s="92"/>
      <c r="H3" s="93" t="s">
        <v>74</v>
      </c>
      <c r="I3" s="93"/>
      <c r="J3" s="93"/>
      <c r="K3" s="93"/>
      <c r="L3" s="93"/>
      <c r="M3" s="93"/>
      <c r="N3" s="93"/>
      <c r="P3" s="94" t="s">
        <v>75</v>
      </c>
      <c r="Q3" s="94"/>
      <c r="S3" s="42" t="s">
        <v>76</v>
      </c>
      <c r="U3" s="87" t="s">
        <v>77</v>
      </c>
      <c r="V3" s="88"/>
    </row>
    <row r="5" spans="2:22" ht="70.5" customHeight="1" x14ac:dyDescent="0.4">
      <c r="B5" s="43" t="s">
        <v>28</v>
      </c>
      <c r="C5" s="43" t="s">
        <v>78</v>
      </c>
      <c r="E5" s="44" t="s">
        <v>134</v>
      </c>
      <c r="F5" s="43">
        <v>700</v>
      </c>
      <c r="H5" s="45" t="s">
        <v>79</v>
      </c>
      <c r="I5" s="46"/>
      <c r="J5" s="89" t="s">
        <v>80</v>
      </c>
      <c r="K5" s="90"/>
      <c r="L5" s="46"/>
      <c r="M5" s="89" t="s">
        <v>81</v>
      </c>
      <c r="N5" s="90"/>
      <c r="O5" s="46"/>
      <c r="P5" s="89" t="s">
        <v>82</v>
      </c>
      <c r="Q5" s="90"/>
      <c r="R5" s="46"/>
      <c r="S5" s="47" t="s">
        <v>83</v>
      </c>
      <c r="T5" s="46"/>
      <c r="U5" s="43" t="s">
        <v>84</v>
      </c>
      <c r="V5" s="43" t="s">
        <v>85</v>
      </c>
    </row>
    <row r="6" spans="2:22" ht="52" x14ac:dyDescent="0.3">
      <c r="B6" s="48">
        <v>0</v>
      </c>
      <c r="C6" s="49">
        <v>4.4450000000000002E-3</v>
      </c>
      <c r="E6" s="44" t="s">
        <v>86</v>
      </c>
      <c r="F6" s="50">
        <v>2.2499999999999999E-2</v>
      </c>
      <c r="H6" s="51">
        <v>2500</v>
      </c>
      <c r="J6" s="48">
        <v>2012</v>
      </c>
      <c r="K6" s="52">
        <v>250</v>
      </c>
      <c r="L6" s="53"/>
      <c r="M6" s="43" t="s">
        <v>87</v>
      </c>
      <c r="N6" s="54">
        <v>0.15</v>
      </c>
      <c r="P6" s="48">
        <v>2012</v>
      </c>
      <c r="Q6" s="50">
        <v>0.105</v>
      </c>
      <c r="S6" s="55">
        <v>0.75</v>
      </c>
      <c r="U6" s="43">
        <f>J6</f>
        <v>2012</v>
      </c>
      <c r="V6" s="43">
        <v>45</v>
      </c>
    </row>
    <row r="7" spans="2:22" x14ac:dyDescent="0.3">
      <c r="B7" s="48">
        <v>1</v>
      </c>
      <c r="C7" s="49">
        <v>3.8969999999999999E-3</v>
      </c>
      <c r="J7" s="48">
        <f>J6+1</f>
        <v>2013</v>
      </c>
      <c r="K7" s="52">
        <v>265</v>
      </c>
      <c r="L7" s="53"/>
      <c r="M7" s="43" t="s">
        <v>88</v>
      </c>
      <c r="N7" s="54">
        <v>0.02</v>
      </c>
      <c r="P7" s="48">
        <f>P6+1</f>
        <v>2013</v>
      </c>
      <c r="Q7" s="50">
        <v>0.10150000000000001</v>
      </c>
      <c r="U7" s="43">
        <f t="shared" ref="U7:U16" si="0">J7</f>
        <v>2013</v>
      </c>
      <c r="V7" s="43">
        <v>45</v>
      </c>
    </row>
    <row r="8" spans="2:22" x14ac:dyDescent="0.3">
      <c r="B8" s="48">
        <v>2</v>
      </c>
      <c r="C8" s="49">
        <v>9.1500000000000001E-4</v>
      </c>
      <c r="J8" s="48">
        <f t="shared" ref="J8:J16" si="1">J7+1</f>
        <v>2014</v>
      </c>
      <c r="K8" s="52">
        <v>280</v>
      </c>
      <c r="L8" s="53"/>
      <c r="P8" s="48">
        <f t="shared" ref="P8:P16" si="2">P7+1</f>
        <v>2014</v>
      </c>
      <c r="Q8" s="50">
        <v>9.6000000000000002E-2</v>
      </c>
      <c r="U8" s="43">
        <f t="shared" si="0"/>
        <v>2014</v>
      </c>
      <c r="V8" s="43">
        <v>44</v>
      </c>
    </row>
    <row r="9" spans="2:22" x14ac:dyDescent="0.3">
      <c r="B9" s="48">
        <v>3</v>
      </c>
      <c r="C9" s="49">
        <v>4.6999999999999999E-4</v>
      </c>
      <c r="J9" s="48">
        <f t="shared" si="1"/>
        <v>2015</v>
      </c>
      <c r="K9" s="52">
        <v>298</v>
      </c>
      <c r="L9" s="53"/>
      <c r="P9" s="48">
        <f t="shared" si="2"/>
        <v>2015</v>
      </c>
      <c r="Q9" s="50">
        <v>0.1</v>
      </c>
      <c r="U9" s="43">
        <f t="shared" si="0"/>
        <v>2015</v>
      </c>
      <c r="V9" s="43">
        <v>43</v>
      </c>
    </row>
    <row r="10" spans="2:22" x14ac:dyDescent="0.3">
      <c r="B10" s="48">
        <v>4</v>
      </c>
      <c r="C10" s="49">
        <v>2.7099999999999997E-4</v>
      </c>
      <c r="E10" s="42" t="s">
        <v>89</v>
      </c>
      <c r="F10" s="54">
        <v>7.0000000000000007E-2</v>
      </c>
      <c r="J10" s="48">
        <f t="shared" si="1"/>
        <v>2016</v>
      </c>
      <c r="K10" s="52">
        <v>314</v>
      </c>
      <c r="L10" s="53"/>
      <c r="P10" s="48">
        <f t="shared" si="2"/>
        <v>2016</v>
      </c>
      <c r="Q10" s="50">
        <v>9.5000000000000001E-2</v>
      </c>
      <c r="U10" s="43">
        <f t="shared" si="0"/>
        <v>2016</v>
      </c>
      <c r="V10" s="43">
        <v>43</v>
      </c>
    </row>
    <row r="11" spans="2:22" x14ac:dyDescent="0.3">
      <c r="B11" s="48">
        <v>5</v>
      </c>
      <c r="C11" s="49">
        <v>1.85E-4</v>
      </c>
      <c r="J11" s="48">
        <f t="shared" si="1"/>
        <v>2017</v>
      </c>
      <c r="K11" s="52">
        <v>328</v>
      </c>
      <c r="L11" s="53"/>
      <c r="P11" s="48">
        <f t="shared" si="2"/>
        <v>2017</v>
      </c>
      <c r="Q11" s="50">
        <v>9.1999999999999998E-2</v>
      </c>
      <c r="U11" s="43">
        <f t="shared" si="0"/>
        <v>2017</v>
      </c>
      <c r="V11" s="43">
        <v>42</v>
      </c>
    </row>
    <row r="12" spans="2:22" x14ac:dyDescent="0.3">
      <c r="B12" s="48">
        <v>6</v>
      </c>
      <c r="C12" s="49">
        <v>1.5200000000000001E-4</v>
      </c>
      <c r="E12" s="42" t="s">
        <v>90</v>
      </c>
      <c r="F12" s="43">
        <f>1/(1+F10)</f>
        <v>0.93457943925233644</v>
      </c>
      <c r="J12" s="48">
        <f t="shared" si="1"/>
        <v>2018</v>
      </c>
      <c r="K12" s="52">
        <v>345</v>
      </c>
      <c r="L12" s="53"/>
      <c r="P12" s="48">
        <f t="shared" si="2"/>
        <v>2018</v>
      </c>
      <c r="Q12" s="50">
        <v>9.1999999999999998E-2</v>
      </c>
      <c r="U12" s="43">
        <f t="shared" si="0"/>
        <v>2018</v>
      </c>
      <c r="V12" s="43">
        <v>41</v>
      </c>
    </row>
    <row r="13" spans="2:22" x14ac:dyDescent="0.3">
      <c r="B13" s="48">
        <v>7</v>
      </c>
      <c r="C13" s="49">
        <v>1.4899999999999999E-4</v>
      </c>
      <c r="J13" s="48">
        <f t="shared" si="1"/>
        <v>2019</v>
      </c>
      <c r="K13" s="52">
        <v>370</v>
      </c>
      <c r="L13" s="53"/>
      <c r="P13" s="48">
        <f t="shared" si="2"/>
        <v>2019</v>
      </c>
      <c r="Q13" s="50">
        <v>9.0499999999999997E-2</v>
      </c>
      <c r="U13" s="43">
        <f t="shared" si="0"/>
        <v>2019</v>
      </c>
      <c r="V13" s="43">
        <v>41</v>
      </c>
    </row>
    <row r="14" spans="2:22" x14ac:dyDescent="0.3">
      <c r="B14" s="48">
        <v>8</v>
      </c>
      <c r="C14" s="49">
        <v>1.6699999999999999E-4</v>
      </c>
      <c r="E14" s="42" t="s">
        <v>91</v>
      </c>
      <c r="F14" s="54">
        <v>0.05</v>
      </c>
      <c r="J14" s="48">
        <f t="shared" si="1"/>
        <v>2020</v>
      </c>
      <c r="K14" s="52">
        <v>405</v>
      </c>
      <c r="L14" s="53"/>
      <c r="P14" s="48">
        <f t="shared" si="2"/>
        <v>2020</v>
      </c>
      <c r="Q14" s="50">
        <v>9.6000000000000002E-2</v>
      </c>
      <c r="U14" s="43">
        <f t="shared" si="0"/>
        <v>2020</v>
      </c>
      <c r="V14" s="43">
        <v>40</v>
      </c>
    </row>
    <row r="15" spans="2:22" x14ac:dyDescent="0.3">
      <c r="B15" s="48">
        <v>9</v>
      </c>
      <c r="C15" s="49">
        <v>2.0599999999999999E-4</v>
      </c>
      <c r="J15" s="48">
        <f t="shared" si="1"/>
        <v>2021</v>
      </c>
      <c r="K15" s="52">
        <v>450</v>
      </c>
      <c r="L15" s="53"/>
      <c r="P15" s="48">
        <f t="shared" si="2"/>
        <v>2021</v>
      </c>
      <c r="Q15" s="50">
        <v>0.09</v>
      </c>
      <c r="U15" s="43">
        <f t="shared" si="0"/>
        <v>2021</v>
      </c>
      <c r="V15" s="43">
        <v>39</v>
      </c>
    </row>
    <row r="16" spans="2:22" x14ac:dyDescent="0.3">
      <c r="B16" s="48">
        <v>10</v>
      </c>
      <c r="C16" s="49">
        <v>2.6499999999999999E-4</v>
      </c>
      <c r="J16" s="48">
        <f t="shared" si="1"/>
        <v>2022</v>
      </c>
      <c r="K16" s="52">
        <v>499</v>
      </c>
      <c r="L16" s="53"/>
      <c r="P16" s="48">
        <f t="shared" si="2"/>
        <v>2022</v>
      </c>
      <c r="Q16" s="50">
        <v>8.6999999999999994E-2</v>
      </c>
      <c r="U16" s="43">
        <f t="shared" si="0"/>
        <v>2022</v>
      </c>
      <c r="V16" s="43">
        <v>39</v>
      </c>
    </row>
    <row r="17" spans="2:21" x14ac:dyDescent="0.3">
      <c r="B17" s="48">
        <v>11</v>
      </c>
      <c r="C17" s="49">
        <v>3.4099999999999999E-4</v>
      </c>
      <c r="J17" s="56"/>
      <c r="K17" s="57"/>
      <c r="L17" s="53"/>
      <c r="P17" s="56"/>
      <c r="Q17" s="58"/>
      <c r="U17" s="59"/>
    </row>
    <row r="18" spans="2:21" x14ac:dyDescent="0.3">
      <c r="B18" s="48">
        <v>12</v>
      </c>
      <c r="C18" s="49">
        <v>4.2900000000000002E-4</v>
      </c>
      <c r="J18" s="56"/>
      <c r="K18" s="57"/>
      <c r="L18" s="53"/>
      <c r="P18" s="56"/>
      <c r="Q18" s="58"/>
      <c r="U18" s="59"/>
    </row>
    <row r="19" spans="2:21" x14ac:dyDescent="0.3">
      <c r="B19" s="48">
        <v>13</v>
      </c>
      <c r="C19" s="49">
        <v>5.22E-4</v>
      </c>
      <c r="J19" s="56"/>
      <c r="K19" s="57"/>
      <c r="L19" s="53"/>
      <c r="P19" s="56"/>
      <c r="Q19" s="58"/>
      <c r="U19" s="59"/>
    </row>
    <row r="20" spans="2:21" x14ac:dyDescent="0.3">
      <c r="B20" s="48">
        <v>14</v>
      </c>
      <c r="C20" s="49">
        <v>6.1399999999999996E-4</v>
      </c>
      <c r="J20" s="56"/>
      <c r="K20" s="57"/>
      <c r="L20" s="53"/>
      <c r="P20" s="56"/>
      <c r="Q20" s="58"/>
      <c r="U20" s="59"/>
    </row>
    <row r="21" spans="2:21" x14ac:dyDescent="0.3">
      <c r="B21" s="48">
        <v>15</v>
      </c>
      <c r="C21" s="49">
        <v>6.9800000000000005E-4</v>
      </c>
      <c r="J21" s="56"/>
      <c r="K21" s="57"/>
      <c r="L21" s="53"/>
      <c r="P21" s="56"/>
      <c r="Q21" s="58"/>
      <c r="U21" s="59"/>
    </row>
    <row r="22" spans="2:21" x14ac:dyDescent="0.3">
      <c r="B22" s="48">
        <v>16</v>
      </c>
      <c r="C22" s="49">
        <v>7.6999999999999996E-4</v>
      </c>
      <c r="J22" s="56"/>
      <c r="K22" s="57"/>
      <c r="L22" s="53"/>
      <c r="P22" s="56"/>
      <c r="Q22" s="58"/>
      <c r="U22" s="59"/>
    </row>
    <row r="23" spans="2:21" x14ac:dyDescent="0.3">
      <c r="B23" s="48">
        <v>17</v>
      </c>
      <c r="C23" s="49">
        <v>8.2899999999999998E-4</v>
      </c>
      <c r="J23" s="56"/>
      <c r="K23" s="57"/>
      <c r="L23" s="53"/>
      <c r="P23" s="56"/>
      <c r="Q23" s="58"/>
      <c r="U23" s="59"/>
    </row>
    <row r="24" spans="2:21" x14ac:dyDescent="0.3">
      <c r="B24" s="48">
        <v>18</v>
      </c>
      <c r="C24" s="49">
        <v>8.7399999999999999E-4</v>
      </c>
      <c r="J24" s="56"/>
      <c r="K24" s="57"/>
      <c r="L24" s="53"/>
      <c r="P24" s="56"/>
      <c r="Q24" s="58"/>
      <c r="U24" s="59"/>
    </row>
    <row r="25" spans="2:21" x14ac:dyDescent="0.3">
      <c r="B25" s="48">
        <v>19</v>
      </c>
      <c r="C25" s="49">
        <v>9.0499999999999999E-4</v>
      </c>
      <c r="J25" s="56"/>
      <c r="K25" s="57"/>
      <c r="L25" s="53"/>
      <c r="P25" s="56"/>
      <c r="Q25" s="58"/>
      <c r="U25" s="59"/>
    </row>
    <row r="26" spans="2:21" x14ac:dyDescent="0.3">
      <c r="B26" s="48">
        <v>20</v>
      </c>
      <c r="C26" s="49">
        <v>9.2400000000000002E-4</v>
      </c>
      <c r="L26" s="53"/>
      <c r="U26" s="59"/>
    </row>
    <row r="27" spans="2:21" x14ac:dyDescent="0.3">
      <c r="B27" s="48">
        <v>21</v>
      </c>
      <c r="C27" s="49">
        <v>9.3400000000000004E-4</v>
      </c>
      <c r="U27" s="59"/>
    </row>
    <row r="28" spans="2:21" x14ac:dyDescent="0.3">
      <c r="B28" s="48">
        <v>22</v>
      </c>
      <c r="C28" s="49">
        <v>9.3700000000000001E-4</v>
      </c>
      <c r="U28" s="59"/>
    </row>
    <row r="29" spans="2:21" x14ac:dyDescent="0.3">
      <c r="B29" s="48">
        <v>23</v>
      </c>
      <c r="C29" s="49">
        <v>9.3599999999999998E-4</v>
      </c>
      <c r="U29" s="59"/>
    </row>
    <row r="30" spans="2:21" x14ac:dyDescent="0.3">
      <c r="B30" s="48">
        <v>24</v>
      </c>
      <c r="C30" s="49">
        <v>9.3300000000000002E-4</v>
      </c>
      <c r="U30" s="59"/>
    </row>
    <row r="31" spans="2:21" x14ac:dyDescent="0.3">
      <c r="B31" s="48">
        <v>25</v>
      </c>
      <c r="C31" s="49">
        <v>9.3099999999999997E-4</v>
      </c>
      <c r="U31" s="59"/>
    </row>
    <row r="32" spans="2:21" x14ac:dyDescent="0.3">
      <c r="B32" s="48">
        <v>26</v>
      </c>
      <c r="C32" s="49">
        <v>9.3099999999999997E-4</v>
      </c>
      <c r="U32" s="59"/>
    </row>
    <row r="33" spans="2:21" x14ac:dyDescent="0.3">
      <c r="B33" s="48">
        <v>27</v>
      </c>
      <c r="C33" s="49">
        <v>9.3400000000000004E-4</v>
      </c>
      <c r="L33" s="57"/>
      <c r="U33" s="59"/>
    </row>
    <row r="34" spans="2:21" x14ac:dyDescent="0.3">
      <c r="B34" s="48">
        <v>28</v>
      </c>
      <c r="C34" s="49">
        <v>9.4200000000000002E-4</v>
      </c>
      <c r="U34" s="59"/>
    </row>
    <row r="35" spans="2:21" x14ac:dyDescent="0.3">
      <c r="B35" s="48">
        <v>29</v>
      </c>
      <c r="C35" s="49">
        <v>9.5600000000000004E-4</v>
      </c>
      <c r="U35" s="59"/>
    </row>
    <row r="36" spans="2:21" x14ac:dyDescent="0.3">
      <c r="B36" s="48">
        <v>30</v>
      </c>
      <c r="C36" s="49">
        <v>9.77E-4</v>
      </c>
      <c r="U36" s="59"/>
    </row>
    <row r="37" spans="2:21" x14ac:dyDescent="0.3">
      <c r="B37" s="48">
        <v>31</v>
      </c>
      <c r="C37" s="49">
        <v>1.005E-3</v>
      </c>
      <c r="U37" s="59"/>
    </row>
    <row r="38" spans="2:21" x14ac:dyDescent="0.3">
      <c r="B38" s="48">
        <v>32</v>
      </c>
      <c r="C38" s="49">
        <v>1.042E-3</v>
      </c>
      <c r="U38" s="59"/>
    </row>
    <row r="39" spans="2:21" x14ac:dyDescent="0.3">
      <c r="B39" s="48">
        <v>33</v>
      </c>
      <c r="C39" s="49">
        <v>1.0859999999999999E-3</v>
      </c>
      <c r="U39" s="59"/>
    </row>
    <row r="40" spans="2:21" x14ac:dyDescent="0.3">
      <c r="B40" s="48">
        <v>34</v>
      </c>
      <c r="C40" s="49">
        <v>1.14E-3</v>
      </c>
      <c r="U40" s="59"/>
    </row>
    <row r="41" spans="2:21" x14ac:dyDescent="0.3">
      <c r="B41" s="48">
        <v>35</v>
      </c>
      <c r="C41" s="49">
        <v>1.2019999999999999E-3</v>
      </c>
      <c r="U41" s="59"/>
    </row>
    <row r="42" spans="2:21" x14ac:dyDescent="0.3">
      <c r="B42" s="48">
        <v>36</v>
      </c>
      <c r="C42" s="49">
        <v>1.2750000000000001E-3</v>
      </c>
      <c r="U42" s="59"/>
    </row>
    <row r="43" spans="2:21" x14ac:dyDescent="0.3">
      <c r="B43" s="48">
        <v>37</v>
      </c>
      <c r="C43" s="49">
        <v>1.358E-3</v>
      </c>
      <c r="U43" s="59"/>
    </row>
    <row r="44" spans="2:21" x14ac:dyDescent="0.3">
      <c r="B44" s="48">
        <v>38</v>
      </c>
      <c r="C44" s="49">
        <v>1.4530000000000001E-3</v>
      </c>
      <c r="U44" s="59"/>
    </row>
    <row r="45" spans="2:21" x14ac:dyDescent="0.3">
      <c r="B45" s="48">
        <v>39</v>
      </c>
      <c r="C45" s="49">
        <v>1.56E-3</v>
      </c>
      <c r="U45" s="59"/>
    </row>
    <row r="46" spans="2:21" x14ac:dyDescent="0.3">
      <c r="B46" s="48">
        <v>40</v>
      </c>
      <c r="C46" s="49">
        <v>1.6800000000000001E-3</v>
      </c>
      <c r="U46" s="59"/>
    </row>
    <row r="47" spans="2:21" x14ac:dyDescent="0.3">
      <c r="B47" s="48">
        <v>41</v>
      </c>
      <c r="C47" s="49">
        <v>1.815E-3</v>
      </c>
      <c r="U47" s="59"/>
    </row>
    <row r="48" spans="2:21" x14ac:dyDescent="0.3">
      <c r="B48" s="48">
        <v>42</v>
      </c>
      <c r="C48" s="49">
        <v>1.9689999999999998E-3</v>
      </c>
      <c r="U48" s="59"/>
    </row>
    <row r="49" spans="2:21" x14ac:dyDescent="0.3">
      <c r="B49" s="48">
        <v>43</v>
      </c>
      <c r="C49" s="49">
        <v>2.1440000000000001E-3</v>
      </c>
      <c r="U49" s="59"/>
    </row>
    <row r="50" spans="2:21" x14ac:dyDescent="0.3">
      <c r="B50" s="48">
        <v>44</v>
      </c>
      <c r="C50" s="49">
        <v>2.3449999999999999E-3</v>
      </c>
      <c r="U50" s="59"/>
    </row>
    <row r="51" spans="2:21" x14ac:dyDescent="0.3">
      <c r="B51" s="48">
        <v>45</v>
      </c>
      <c r="C51" s="49">
        <v>2.5790000000000001E-3</v>
      </c>
      <c r="U51" s="59"/>
    </row>
    <row r="52" spans="2:21" x14ac:dyDescent="0.3">
      <c r="B52" s="48">
        <v>46</v>
      </c>
      <c r="C52" s="49">
        <v>2.8509999999999998E-3</v>
      </c>
      <c r="U52" s="59"/>
    </row>
    <row r="53" spans="2:21" x14ac:dyDescent="0.3">
      <c r="B53" s="48">
        <v>47</v>
      </c>
      <c r="C53" s="49">
        <v>3.1679999999999998E-3</v>
      </c>
      <c r="U53" s="59"/>
    </row>
    <row r="54" spans="2:21" x14ac:dyDescent="0.3">
      <c r="B54" s="48">
        <v>48</v>
      </c>
      <c r="C54" s="49">
        <v>3.5360000000000001E-3</v>
      </c>
      <c r="U54" s="59"/>
    </row>
    <row r="55" spans="2:21" x14ac:dyDescent="0.3">
      <c r="B55" s="48">
        <v>49</v>
      </c>
      <c r="C55" s="49">
        <v>3.9579999999999997E-3</v>
      </c>
      <c r="U55" s="59"/>
    </row>
    <row r="56" spans="2:21" x14ac:dyDescent="0.3">
      <c r="B56" s="48">
        <v>50</v>
      </c>
      <c r="C56" s="49">
        <v>4.4359999999999998E-3</v>
      </c>
      <c r="U56" s="59"/>
    </row>
    <row r="57" spans="2:21" x14ac:dyDescent="0.3">
      <c r="B57" s="48">
        <v>51</v>
      </c>
      <c r="C57" s="49">
        <v>4.9690000000000003E-3</v>
      </c>
      <c r="U57" s="59"/>
    </row>
    <row r="58" spans="2:21" x14ac:dyDescent="0.3">
      <c r="B58" s="48">
        <v>52</v>
      </c>
      <c r="C58" s="49">
        <v>5.5500000000000002E-3</v>
      </c>
      <c r="U58" s="59"/>
    </row>
    <row r="59" spans="2:21" x14ac:dyDescent="0.3">
      <c r="B59" s="48">
        <v>53</v>
      </c>
      <c r="C59" s="49">
        <v>6.1739999999999998E-3</v>
      </c>
      <c r="U59" s="59"/>
    </row>
    <row r="60" spans="2:21" x14ac:dyDescent="0.3">
      <c r="B60" s="48">
        <v>54</v>
      </c>
      <c r="C60" s="49">
        <v>6.8310000000000003E-3</v>
      </c>
      <c r="U60" s="59"/>
    </row>
    <row r="61" spans="2:21" x14ac:dyDescent="0.3">
      <c r="B61" s="48">
        <v>55</v>
      </c>
      <c r="C61" s="49">
        <v>7.5129999999999997E-3</v>
      </c>
      <c r="U61" s="59"/>
    </row>
    <row r="62" spans="2:21" x14ac:dyDescent="0.3">
      <c r="B62" s="48">
        <v>56</v>
      </c>
      <c r="C62" s="49">
        <v>8.2120000000000005E-3</v>
      </c>
      <c r="U62" s="59"/>
    </row>
    <row r="63" spans="2:21" x14ac:dyDescent="0.3">
      <c r="B63" s="48">
        <v>57</v>
      </c>
      <c r="C63" s="49">
        <v>8.9250000000000006E-3</v>
      </c>
      <c r="U63" s="59"/>
    </row>
    <row r="64" spans="2:21" x14ac:dyDescent="0.3">
      <c r="B64" s="48">
        <v>58</v>
      </c>
      <c r="C64" s="49">
        <v>9.6509999999999999E-3</v>
      </c>
      <c r="U64" s="59"/>
    </row>
    <row r="65" spans="2:21" x14ac:dyDescent="0.3">
      <c r="B65" s="48">
        <v>59</v>
      </c>
      <c r="C65" s="49">
        <v>1.0392999999999999E-2</v>
      </c>
      <c r="U65" s="59"/>
    </row>
    <row r="66" spans="2:21" x14ac:dyDescent="0.3">
      <c r="B66" s="48">
        <v>60</v>
      </c>
      <c r="C66" s="49">
        <v>1.1162E-2</v>
      </c>
      <c r="U66" s="59"/>
    </row>
    <row r="67" spans="2:21" x14ac:dyDescent="0.3">
      <c r="B67" s="48">
        <v>61</v>
      </c>
      <c r="C67" s="49">
        <v>1.1969E-2</v>
      </c>
      <c r="U67" s="59"/>
    </row>
    <row r="68" spans="2:21" x14ac:dyDescent="0.3">
      <c r="B68" s="48">
        <v>62</v>
      </c>
      <c r="C68" s="49">
        <v>1.2831E-2</v>
      </c>
      <c r="U68" s="59"/>
    </row>
    <row r="69" spans="2:21" x14ac:dyDescent="0.3">
      <c r="B69" s="48">
        <v>63</v>
      </c>
      <c r="C69" s="49">
        <v>1.3764999999999999E-2</v>
      </c>
      <c r="U69" s="59"/>
    </row>
    <row r="70" spans="2:21" x14ac:dyDescent="0.3">
      <c r="B70" s="48">
        <v>64</v>
      </c>
      <c r="C70" s="49">
        <v>1.4792E-2</v>
      </c>
      <c r="U70" s="59"/>
    </row>
    <row r="71" spans="2:21" x14ac:dyDescent="0.3">
      <c r="B71" s="48">
        <v>65</v>
      </c>
      <c r="C71" s="49">
        <v>1.5932000000000002E-2</v>
      </c>
      <c r="U71" s="59"/>
    </row>
    <row r="72" spans="2:21" x14ac:dyDescent="0.3">
      <c r="B72" s="48">
        <v>66</v>
      </c>
      <c r="C72" s="49">
        <v>1.7205999999999999E-2</v>
      </c>
      <c r="U72" s="59"/>
    </row>
    <row r="73" spans="2:21" x14ac:dyDescent="0.3">
      <c r="B73" s="48">
        <v>67</v>
      </c>
      <c r="C73" s="49">
        <v>1.8634999999999999E-2</v>
      </c>
      <c r="U73" s="59"/>
    </row>
    <row r="74" spans="2:21" x14ac:dyDescent="0.3">
      <c r="B74" s="48">
        <v>68</v>
      </c>
      <c r="C74" s="49">
        <v>2.0240000000000001E-2</v>
      </c>
      <c r="U74" s="59"/>
    </row>
    <row r="75" spans="2:21" x14ac:dyDescent="0.3">
      <c r="B75" s="48">
        <v>69</v>
      </c>
      <c r="C75" s="49">
        <v>2.2040000000000001E-2</v>
      </c>
      <c r="U75" s="59"/>
    </row>
    <row r="76" spans="2:21" x14ac:dyDescent="0.3">
      <c r="B76" s="48">
        <v>70</v>
      </c>
      <c r="C76" s="49">
        <v>2.4058E-2</v>
      </c>
      <c r="U76" s="59"/>
    </row>
    <row r="77" spans="2:21" x14ac:dyDescent="0.3">
      <c r="B77" s="48">
        <v>71</v>
      </c>
      <c r="C77" s="49">
        <v>2.6314000000000001E-2</v>
      </c>
      <c r="U77" s="59"/>
    </row>
    <row r="78" spans="2:21" x14ac:dyDescent="0.3">
      <c r="B78" s="48">
        <v>72</v>
      </c>
      <c r="C78" s="49">
        <v>2.8832E-2</v>
      </c>
      <c r="U78" s="59"/>
    </row>
    <row r="79" spans="2:21" x14ac:dyDescent="0.3">
      <c r="B79" s="48">
        <v>73</v>
      </c>
      <c r="C79" s="49">
        <v>3.1637999999999999E-2</v>
      </c>
      <c r="U79" s="59"/>
    </row>
    <row r="80" spans="2:21" x14ac:dyDescent="0.3">
      <c r="B80" s="48">
        <v>74</v>
      </c>
      <c r="C80" s="49">
        <v>3.4757000000000003E-2</v>
      </c>
      <c r="U80" s="59"/>
    </row>
    <row r="81" spans="2:21" x14ac:dyDescent="0.3">
      <c r="B81" s="48">
        <v>75</v>
      </c>
      <c r="C81" s="49">
        <v>3.8220999999999998E-2</v>
      </c>
      <c r="U81" s="59"/>
    </row>
    <row r="82" spans="2:21" x14ac:dyDescent="0.3">
      <c r="B82" s="48">
        <v>76</v>
      </c>
      <c r="C82" s="49">
        <v>4.2061000000000001E-2</v>
      </c>
      <c r="U82" s="59"/>
    </row>
    <row r="83" spans="2:21" x14ac:dyDescent="0.3">
      <c r="B83" s="48">
        <v>77</v>
      </c>
      <c r="C83" s="49">
        <v>4.6316000000000003E-2</v>
      </c>
      <c r="U83" s="59"/>
    </row>
    <row r="84" spans="2:21" x14ac:dyDescent="0.3">
      <c r="B84" s="48">
        <v>78</v>
      </c>
      <c r="C84" s="49">
        <v>5.1024E-2</v>
      </c>
      <c r="U84" s="59"/>
    </row>
    <row r="85" spans="2:21" x14ac:dyDescent="0.3">
      <c r="B85" s="48">
        <v>79</v>
      </c>
      <c r="C85" s="49">
        <v>5.6231000000000003E-2</v>
      </c>
      <c r="U85" s="59"/>
    </row>
    <row r="86" spans="2:21" x14ac:dyDescent="0.3">
      <c r="B86" s="48">
        <v>80</v>
      </c>
      <c r="C86" s="49">
        <v>6.1984999999999998E-2</v>
      </c>
      <c r="U86" s="59"/>
    </row>
    <row r="87" spans="2:21" x14ac:dyDescent="0.3">
      <c r="B87" s="48">
        <v>81</v>
      </c>
      <c r="C87" s="49">
        <v>6.8337999999999996E-2</v>
      </c>
      <c r="U87" s="59"/>
    </row>
    <row r="88" spans="2:21" x14ac:dyDescent="0.3">
      <c r="B88" s="48">
        <v>82</v>
      </c>
      <c r="C88" s="49">
        <v>7.535E-2</v>
      </c>
      <c r="U88" s="59"/>
    </row>
    <row r="89" spans="2:21" x14ac:dyDescent="0.3">
      <c r="B89" s="48">
        <v>83</v>
      </c>
      <c r="C89" s="49">
        <v>8.3082000000000003E-2</v>
      </c>
      <c r="U89" s="59"/>
    </row>
    <row r="90" spans="2:21" x14ac:dyDescent="0.3">
      <c r="B90" s="48">
        <v>84</v>
      </c>
      <c r="C90" s="49">
        <v>9.1601000000000002E-2</v>
      </c>
      <c r="U90" s="59"/>
    </row>
    <row r="91" spans="2:21" x14ac:dyDescent="0.3">
      <c r="B91" s="48">
        <v>85</v>
      </c>
      <c r="C91" s="49">
        <v>0.100979</v>
      </c>
      <c r="U91" s="59"/>
    </row>
    <row r="92" spans="2:21" x14ac:dyDescent="0.3">
      <c r="B92" s="48">
        <v>86</v>
      </c>
      <c r="C92" s="49">
        <v>0.111291</v>
      </c>
      <c r="U92" s="59"/>
    </row>
    <row r="93" spans="2:21" x14ac:dyDescent="0.3">
      <c r="B93" s="48">
        <v>87</v>
      </c>
      <c r="C93" s="49">
        <v>0.122616</v>
      </c>
      <c r="U93" s="59"/>
    </row>
    <row r="94" spans="2:21" x14ac:dyDescent="0.3">
      <c r="B94" s="48">
        <v>88</v>
      </c>
      <c r="C94" s="49">
        <v>0.13503699999999999</v>
      </c>
      <c r="U94" s="59"/>
    </row>
    <row r="95" spans="2:21" x14ac:dyDescent="0.3">
      <c r="B95" s="48">
        <v>89</v>
      </c>
      <c r="C95" s="49">
        <v>0.14863899999999999</v>
      </c>
      <c r="U95" s="59"/>
    </row>
    <row r="96" spans="2:21" x14ac:dyDescent="0.3">
      <c r="B96" s="48">
        <v>90</v>
      </c>
      <c r="C96" s="49">
        <v>0.16350700000000001</v>
      </c>
      <c r="U96" s="59"/>
    </row>
    <row r="97" spans="2:21" x14ac:dyDescent="0.3">
      <c r="B97" s="48">
        <v>91</v>
      </c>
      <c r="C97" s="49">
        <v>0.179726</v>
      </c>
      <c r="U97" s="59"/>
    </row>
    <row r="98" spans="2:21" x14ac:dyDescent="0.3">
      <c r="B98" s="48">
        <v>92</v>
      </c>
      <c r="C98" s="49">
        <v>0.19738</v>
      </c>
      <c r="U98" s="59"/>
    </row>
    <row r="99" spans="2:21" x14ac:dyDescent="0.3">
      <c r="B99" s="48">
        <v>93</v>
      </c>
      <c r="C99" s="49">
        <v>0.21654699999999999</v>
      </c>
      <c r="U99" s="59"/>
    </row>
    <row r="100" spans="2:21" x14ac:dyDescent="0.3">
      <c r="B100" s="48">
        <v>94</v>
      </c>
      <c r="C100" s="49">
        <v>0.23730200000000001</v>
      </c>
      <c r="U100" s="59"/>
    </row>
    <row r="101" spans="2:21" x14ac:dyDescent="0.3">
      <c r="B101" s="48">
        <v>95</v>
      </c>
      <c r="C101" s="49">
        <v>0.25970599999999999</v>
      </c>
      <c r="U101" s="59"/>
    </row>
    <row r="102" spans="2:21" x14ac:dyDescent="0.3">
      <c r="B102" s="48">
        <v>96</v>
      </c>
      <c r="C102" s="49">
        <v>0.28381299999999998</v>
      </c>
      <c r="U102" s="59"/>
    </row>
    <row r="103" spans="2:21" x14ac:dyDescent="0.3">
      <c r="B103" s="48">
        <v>97</v>
      </c>
      <c r="C103" s="49">
        <v>0.30965900000000002</v>
      </c>
      <c r="U103" s="59"/>
    </row>
    <row r="104" spans="2:21" x14ac:dyDescent="0.3">
      <c r="B104" s="48">
        <v>98</v>
      </c>
      <c r="C104" s="49">
        <v>0.33726499999999998</v>
      </c>
      <c r="U104" s="59"/>
    </row>
    <row r="105" spans="2:21" x14ac:dyDescent="0.3">
      <c r="B105" s="48">
        <v>99</v>
      </c>
      <c r="C105" s="49">
        <v>0.36663000000000001</v>
      </c>
      <c r="U105" s="59"/>
    </row>
    <row r="106" spans="2:21" x14ac:dyDescent="0.3">
      <c r="B106" s="48">
        <v>100</v>
      </c>
      <c r="C106" s="49">
        <v>0.397733</v>
      </c>
      <c r="U106" s="59"/>
    </row>
    <row r="107" spans="2:21" x14ac:dyDescent="0.3">
      <c r="B107" s="48">
        <v>101</v>
      </c>
      <c r="C107" s="49">
        <v>0.430529</v>
      </c>
    </row>
    <row r="108" spans="2:21" x14ac:dyDescent="0.3">
      <c r="B108" s="48">
        <v>102</v>
      </c>
      <c r="C108" s="49">
        <v>0.46494999999999997</v>
      </c>
    </row>
    <row r="109" spans="2:21" x14ac:dyDescent="0.3">
      <c r="B109" s="48">
        <v>103</v>
      </c>
      <c r="C109" s="49">
        <v>0.50090400000000002</v>
      </c>
    </row>
    <row r="110" spans="2:21" x14ac:dyDescent="0.3">
      <c r="B110" s="48">
        <v>104</v>
      </c>
      <c r="C110" s="49">
        <v>0.53827800000000003</v>
      </c>
    </row>
    <row r="111" spans="2:21" x14ac:dyDescent="0.3">
      <c r="B111" s="48">
        <v>105</v>
      </c>
      <c r="C111" s="49">
        <v>0.57694199999999995</v>
      </c>
    </row>
    <row r="112" spans="2:21" x14ac:dyDescent="0.3">
      <c r="B112" s="48">
        <v>106</v>
      </c>
      <c r="C112" s="49">
        <v>0.61675199999999997</v>
      </c>
    </row>
    <row r="113" spans="2:3" x14ac:dyDescent="0.3">
      <c r="B113" s="48">
        <v>107</v>
      </c>
      <c r="C113" s="49">
        <v>0.65755300000000005</v>
      </c>
    </row>
    <row r="114" spans="2:3" x14ac:dyDescent="0.3">
      <c r="B114" s="48">
        <v>108</v>
      </c>
      <c r="C114" s="49">
        <v>0.69919100000000001</v>
      </c>
    </row>
    <row r="115" spans="2:3" x14ac:dyDescent="0.3">
      <c r="B115" s="48">
        <v>109</v>
      </c>
      <c r="C115" s="49">
        <v>0.74151500000000004</v>
      </c>
    </row>
    <row r="116" spans="2:3" x14ac:dyDescent="0.3">
      <c r="B116" s="48">
        <v>110</v>
      </c>
      <c r="C116" s="49">
        <v>0.78438300000000005</v>
      </c>
    </row>
    <row r="117" spans="2:3" x14ac:dyDescent="0.3">
      <c r="B117" s="48">
        <v>111</v>
      </c>
      <c r="C117" s="49">
        <v>0.82767299999999999</v>
      </c>
    </row>
    <row r="118" spans="2:3" x14ac:dyDescent="0.3">
      <c r="B118" s="48">
        <v>112</v>
      </c>
      <c r="C118" s="49">
        <v>0.87128499999999998</v>
      </c>
    </row>
    <row r="119" spans="2:3" x14ac:dyDescent="0.3">
      <c r="B119" s="48">
        <v>113</v>
      </c>
      <c r="C119" s="49">
        <v>0.91514499999999999</v>
      </c>
    </row>
    <row r="120" spans="2:3" x14ac:dyDescent="0.3">
      <c r="B120" s="48">
        <v>114</v>
      </c>
      <c r="C120" s="49">
        <v>0.95921400000000001</v>
      </c>
    </row>
    <row r="121" spans="2:3" x14ac:dyDescent="0.3">
      <c r="B121" s="48">
        <v>115</v>
      </c>
      <c r="C121" s="49">
        <v>1</v>
      </c>
    </row>
  </sheetData>
  <mergeCells count="8">
    <mergeCell ref="U3:V3"/>
    <mergeCell ref="J5:K5"/>
    <mergeCell ref="M5:N5"/>
    <mergeCell ref="P5:Q5"/>
    <mergeCell ref="B3:C3"/>
    <mergeCell ref="E3:F3"/>
    <mergeCell ref="H3:N3"/>
    <mergeCell ref="P3:Q3"/>
  </mergeCells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74D6C390916B4A8494C33A5D3CA82B" ma:contentTypeVersion="16" ma:contentTypeDescription="Create a new document." ma:contentTypeScope="" ma:versionID="5fec736d704c56b3a5e34d7901886388">
  <xsd:schema xmlns:xsd="http://www.w3.org/2001/XMLSchema" xmlns:xs="http://www.w3.org/2001/XMLSchema" xmlns:p="http://schemas.microsoft.com/office/2006/metadata/properties" xmlns:ns1="http://schemas.microsoft.com/sharepoint/v3" xmlns:ns2="307a12b3-3a39-4e5f-afa6-4629bb16037e" xmlns:ns3="1f0d55de-41a8-442a-939a-8c7a93a15acc" targetNamespace="http://schemas.microsoft.com/office/2006/metadata/properties" ma:root="true" ma:fieldsID="005e28bcc4fde7b9fbbbb684eaded443" ns1:_="" ns2:_="" ns3:_="">
    <xsd:import namespace="http://schemas.microsoft.com/sharepoint/v3"/>
    <xsd:import namespace="307a12b3-3a39-4e5f-afa6-4629bb16037e"/>
    <xsd:import namespace="1f0d55de-41a8-442a-939a-8c7a93a15a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a12b3-3a39-4e5f-afa6-4629bb160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790f828-4d96-4d10-bc53-6c3febba0b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0d55de-41a8-442a-939a-8c7a93a15ac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438ea2c-1d97-4ed9-8a85-6ab57bb76901}" ma:internalName="TaxCatchAll" ma:showField="CatchAllData" ma:web="1f0d55de-41a8-442a-939a-8c7a93a15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D37E8-9DB2-4904-80C9-57CC41E9D1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4BC17F-C409-4903-9B7C-17F09D4B56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7a12b3-3a39-4e5f-afa6-4629bb16037e"/>
    <ds:schemaRef ds:uri="1f0d55de-41a8-442a-939a-8c7a93a15a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Q.1 Data</vt:lpstr>
      <vt:lpstr>Q.1 (i)</vt:lpstr>
      <vt:lpstr>Q.1 (ii)</vt:lpstr>
      <vt:lpstr>Q.1 (iii)</vt:lpstr>
      <vt:lpstr>Q.2 Data</vt:lpstr>
      <vt:lpstr>Q.2 (i)</vt:lpstr>
      <vt:lpstr>Q.2 (ii)</vt:lpstr>
      <vt:lpstr>Q.2 (iii)</vt:lpstr>
      <vt:lpstr>Q.3 Input</vt:lpstr>
      <vt:lpstr>Q.3(i)</vt:lpstr>
      <vt:lpstr>Q.3(ii)</vt:lpstr>
      <vt:lpstr>Q.3(iii)</vt:lpstr>
      <vt:lpstr>Q.3 (iv)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2023-08-21T02:37:44Z</dcterms:created>
  <dcterms:modified xsi:type="dcterms:W3CDTF">2023-12-08T11:07:55Z</dcterms:modified>
</cp:coreProperties>
</file>